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16" yWindow="45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<sst xmlns="http://schemas.openxmlformats.org/spreadsheetml/2006/main" count="166" uniqueCount="113">
  <si>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</si>
  <si>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</si>
  <si>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</si>
  <si>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</si>
  <si>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</si>
  <si>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</si>
  <si>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</si>
  <si>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</si>
  <si>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</si>
  <si>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</si>
  <si>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</si>
  <si>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</si>
  <si>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</si>
  <si>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</si>
  <si>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</si>
  <si>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</si>
  <si>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</si>
  <si>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</si>
  <si>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</si>
  <si>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</si>
  <si>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</si>
  <si>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</si>
  <si>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</si>
  <si>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</si>
  <si>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</si>
  <si>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</si>
  <si>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</si>
  <si>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</si>
  <si>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</si>
  <si>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</si>
  <si>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</si>
  <si>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</si>
  <si>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</si>
  <si>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</si>
  <si>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</si>
  <si>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</si>
  <si>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</si>
  <si>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</si>
  <si>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</si>
  <si>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</si>
  <si>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</si>
  <si>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</si>
  <si>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</si>
  <si>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</si>
  <si>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</si>
  <si>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</si>
  <si>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</si>
  <si>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</si>
  <si>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</si>
  <si>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</si>
  <si>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</si>
  <si>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</si>
  <si>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</si>
  <si>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</si>
  <si>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</si>
  <si>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</si>
  <si>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</si>
  <si>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</si>
  <si>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</si>
  <si>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</si>
  <si>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</si>
  <si>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</si>
  <si>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</si>
  <si>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</si>
  <si>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</si>
  <si>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</si>
  <si>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</si>
  <si>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</si>
  <si>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</si>
  <si>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</si>
  <si>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</si>
  <si>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</si>
  <si>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</si>
  <si>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</si>
  <si>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</si>
  <si>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</si>
  <si>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</si>
  <si>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</si>
  <si>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</si>
  <si>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</si>
  <si>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</si>
  <si>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</si>
  <si>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</si>
  <si>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</si>
  <si>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</si>
  <si>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</si>
  <si>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</si>
  <si>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</si>
  <si>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</si>
  <si>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</si>
  <si>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</si>
  <si>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</si>
  <si>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</si>
  <si>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</si>
  <si>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</si>
  <si>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</si>
  <si>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</si>
  <si>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</si>
  <si>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</si>
  <si>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</si>
  <si>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</si>
  <si>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</si>
  <si>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</si>
  <si>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</si>
  <si>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</si>
  <si>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</si>
  <si>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</si>
  <si>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</si>
  <si>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</si>
  <si>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</si>
  <si>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</si>
  <si>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</si>
  <si>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23.10.2018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</si>
</sst>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160906.09999999998</c:v>
                </c:pt>
                <c:pt idx="1">
                  <c:v>151990.91000000003</c:v>
                </c:pt>
                <c:pt idx="2">
                  <c:v>1659.6000000000001</c:v>
                </c:pt>
                <c:pt idx="3">
                  <c:v>7255.589999999944</c:v>
                </c:pt>
              </c:numCache>
            </c:numRef>
          </c:val>
          <c:shape val="box"/>
        </c:ser>
        <c:shape val="box"/>
        <c:axId val="30460377"/>
        <c:axId val="5707938"/>
      </c:bar3D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7938"/>
        <c:crosses val="autoZero"/>
        <c:auto val="1"/>
        <c:lblOffset val="100"/>
        <c:tickLblSkip val="1"/>
        <c:noMultiLvlLbl val="0"/>
      </c:catAx>
      <c:valAx>
        <c:axId val="5707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0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"/>
          <c:w val="0.8435"/>
          <c:h val="0.71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608762.9000000003</c:v>
                </c:pt>
                <c:pt idx="1">
                  <c:v>210386.39999999997</c:v>
                </c:pt>
                <c:pt idx="2">
                  <c:v>502993.2000000002</c:v>
                </c:pt>
                <c:pt idx="3">
                  <c:v>37.300000000000004</c:v>
                </c:pt>
                <c:pt idx="4">
                  <c:v>25165.199999999997</c:v>
                </c:pt>
                <c:pt idx="5">
                  <c:v>55900.799999999996</c:v>
                </c:pt>
                <c:pt idx="6">
                  <c:v>9196.899999999998</c:v>
                </c:pt>
                <c:pt idx="7">
                  <c:v>15469.500000000076</c:v>
                </c:pt>
              </c:numCache>
            </c:numRef>
          </c:val>
          <c:shape val="box"/>
        </c:ser>
        <c:shape val="box"/>
        <c:axId val="51371443"/>
        <c:axId val="59689804"/>
      </c:bar3D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92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301837.4000000001</c:v>
                </c:pt>
                <c:pt idx="1">
                  <c:v>190528.2</c:v>
                </c:pt>
                <c:pt idx="2">
                  <c:v>301837.4000000001</c:v>
                </c:pt>
              </c:numCache>
            </c:numRef>
          </c:val>
          <c:shape val="box"/>
        </c:ser>
        <c:shape val="box"/>
        <c:axId val="337325"/>
        <c:axId val="3035926"/>
      </c:bar3D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18057.400000000005</c:v>
                </c:pt>
                <c:pt idx="1">
                  <c:v>9731.6</c:v>
                </c:pt>
                <c:pt idx="2">
                  <c:v>59.6</c:v>
                </c:pt>
                <c:pt idx="3">
                  <c:v>1020.4999999999999</c:v>
                </c:pt>
                <c:pt idx="4">
                  <c:v>747.7999999999998</c:v>
                </c:pt>
                <c:pt idx="5">
                  <c:v>34.2</c:v>
                </c:pt>
                <c:pt idx="6">
                  <c:v>6463.700000000004</c:v>
                </c:pt>
              </c:numCache>
            </c:numRef>
          </c:val>
          <c:shape val="box"/>
        </c:ser>
        <c:shape val="box"/>
        <c:axId val="27323335"/>
        <c:axId val="44583424"/>
      </c:bar3D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233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87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24918.7</c:v>
                </c:pt>
                <c:pt idx="1">
                  <c:v>14554.9</c:v>
                </c:pt>
                <c:pt idx="2">
                  <c:v>1</c:v>
                </c:pt>
                <c:pt idx="3">
                  <c:v>674.4</c:v>
                </c:pt>
                <c:pt idx="4">
                  <c:v>564.1000000000001</c:v>
                </c:pt>
                <c:pt idx="5">
                  <c:v>1096</c:v>
                </c:pt>
                <c:pt idx="6">
                  <c:v>8028.300000000001</c:v>
                </c:pt>
              </c:numCache>
            </c:numRef>
          </c:val>
          <c:shape val="box"/>
        </c:ser>
        <c:shape val="box"/>
        <c:axId val="65706497"/>
        <c:axId val="54487562"/>
      </c:bar3D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87562"/>
        <c:crosses val="autoZero"/>
        <c:auto val="1"/>
        <c:lblOffset val="100"/>
        <c:tickLblSkip val="2"/>
        <c:noMultiLvlLbl val="0"/>
      </c:catAx>
      <c:valAx>
        <c:axId val="54487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6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15"/>
          <c:w val="0.8775"/>
          <c:h val="0.6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7209.300000000001</c:v>
                </c:pt>
                <c:pt idx="1">
                  <c:v>2300.4000000000005</c:v>
                </c:pt>
                <c:pt idx="2">
                  <c:v>391.1</c:v>
                </c:pt>
                <c:pt idx="3">
                  <c:v>228.8999999999999</c:v>
                </c:pt>
                <c:pt idx="4">
                  <c:v>3583.4</c:v>
                </c:pt>
                <c:pt idx="5">
                  <c:v>705.5000000000008</c:v>
                </c:pt>
              </c:numCache>
            </c:numRef>
          </c:val>
          <c:shape val="box"/>
        </c:ser>
        <c:shape val="box"/>
        <c:axId val="20626011"/>
        <c:axId val="51416372"/>
      </c:bar3D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75"/>
          <c:w val="0.85275"/>
          <c:h val="0.72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32407.199999999997</c:v>
                </c:pt>
              </c:numCache>
            </c:numRef>
          </c:val>
          <c:shape val="box"/>
        </c:ser>
        <c:shape val="box"/>
        <c:axId val="60094165"/>
        <c:axId val="3976574"/>
      </c:bar3D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4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525"/>
          <c:w val="0.851"/>
          <c:h val="0.58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608762.9000000003</c:v>
                </c:pt>
                <c:pt idx="1">
                  <c:v>301837.4000000001</c:v>
                </c:pt>
                <c:pt idx="2">
                  <c:v>18057.400000000005</c:v>
                </c:pt>
                <c:pt idx="3">
                  <c:v>24918.7</c:v>
                </c:pt>
                <c:pt idx="4">
                  <c:v>7209.300000000001</c:v>
                </c:pt>
                <c:pt idx="5">
                  <c:v>160906.09999999998</c:v>
                </c:pt>
                <c:pt idx="6">
                  <c:v>32407.199999999997</c:v>
                </c:pt>
              </c:numCache>
            </c:numRef>
          </c:val>
          <c:shape val="box"/>
        </c:ser>
        <c:shape val="box"/>
        <c:axId val="35789167"/>
        <c:axId val="53667048"/>
      </c:bar3D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375"/>
          <c:w val="0.84125"/>
          <c:h val="0.47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692555.0100000004</c:v>
                </c:pt>
                <c:pt idx="1">
                  <c:v>69733.19999999998</c:v>
                </c:pt>
                <c:pt idx="2">
                  <c:v>26340.699999999997</c:v>
                </c:pt>
                <c:pt idx="3">
                  <c:v>22324.9</c:v>
                </c:pt>
                <c:pt idx="4">
                  <c:v>39.00000000000001</c:v>
                </c:pt>
                <c:pt idx="5">
                  <c:v>739849.7899999998</c:v>
                </c:pt>
              </c:numCache>
            </c:numRef>
          </c:val>
          <c:shape val="box"/>
        </c:ser>
        <c:shape val="box"/>
        <c:axId val="13241385"/>
        <c:axId val="52063602"/>
      </c:bar3D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63602"/>
        <c:crosses val="autoZero"/>
        <c:auto val="1"/>
        <c:lblOffset val="100"/>
        <c:tickLblSkip val="1"/>
        <c:noMultiLvlLbl val="0"/>
      </c:catAx>
      <c:valAx>
        <c:axId val="52063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41" sqref="N141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3" t="s">
        <v>112</v>
      </c>
      <c r="B1" s="173"/>
      <c r="C1" s="173"/>
      <c r="D1" s="173"/>
      <c r="E1" s="173"/>
      <c r="F1" s="173"/>
      <c r="G1" s="173"/>
      <c r="H1" s="173"/>
      <c r="I1" s="17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7" t="s">
        <v>40</v>
      </c>
      <c r="B3" s="180" t="s">
        <v>109</v>
      </c>
      <c r="C3" s="174" t="s">
        <v>106</v>
      </c>
      <c r="D3" s="174" t="s">
        <v>22</v>
      </c>
      <c r="E3" s="174" t="s">
        <v>21</v>
      </c>
      <c r="F3" s="174" t="s">
        <v>110</v>
      </c>
      <c r="G3" s="174" t="s">
        <v>107</v>
      </c>
      <c r="H3" s="174" t="s">
        <v>111</v>
      </c>
      <c r="I3" s="174" t="s">
        <v>108</v>
      </c>
    </row>
    <row r="4" spans="1:9" ht="24.75" customHeight="1">
      <c r="A4" s="178"/>
      <c r="B4" s="181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9"/>
      <c r="B5" s="182"/>
      <c r="C5" s="176"/>
      <c r="D5" s="176"/>
      <c r="E5" s="176"/>
      <c r="F5" s="176"/>
      <c r="G5" s="176"/>
      <c r="H5" s="176"/>
      <c r="I5" s="176"/>
      <c r="J5" s="93"/>
    </row>
    <row r="6" spans="1:11" ht="18.75" thickBot="1">
      <c r="A6" s="20" t="s">
        <v>26</v>
      </c>
      <c r="B6" s="38">
        <f>681593+809.8</f>
        <v>682402.8</v>
      </c>
      <c r="C6" s="39">
        <f>826775+13431.5+510-13431.5+16-2334+20.8+1070.1+1061.7</f>
        <v>827119.6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+319.8+1469.4+12.5</f>
        <v>608762.9000000003</v>
      </c>
      <c r="E6" s="3">
        <f>D6/D154*100</f>
        <v>39.25368699570158</v>
      </c>
      <c r="F6" s="3">
        <f>D6/B6*100</f>
        <v>89.2087341962841</v>
      </c>
      <c r="G6" s="3">
        <f aca="true" t="shared" si="0" ref="G6:G43">D6/C6*100</f>
        <v>73.60034751927053</v>
      </c>
      <c r="H6" s="40">
        <f>B6-D6</f>
        <v>73639.89999999979</v>
      </c>
      <c r="I6" s="40">
        <f aca="true" t="shared" si="1" ref="I6:I43">C6-D6</f>
        <v>218356.69999999972</v>
      </c>
      <c r="J6" s="166"/>
      <c r="K6" s="153"/>
    </row>
    <row r="7" spans="1:12" s="94" customFormat="1" ht="18.75">
      <c r="A7" s="140" t="s">
        <v>81</v>
      </c>
      <c r="B7" s="141">
        <v>223162</v>
      </c>
      <c r="C7" s="142">
        <v>262517.6</v>
      </c>
      <c r="D7" s="143">
        <f>8282.7+10875.2+9132.6+9963.6+4.3+9215.1+9968.6+9459.9+11450.4+9572.3+23759.4-0.1+3644+36528.9+8511.9+179.9+764+816.4+0.1+3426.1+9016.3+0.5+9355.5+12599.9+4130.8+9728.1</f>
        <v>210386.39999999997</v>
      </c>
      <c r="E7" s="144">
        <f>D7/D6*100</f>
        <v>34.55966189792444</v>
      </c>
      <c r="F7" s="144">
        <f>D7/B7*100</f>
        <v>94.27519022055725</v>
      </c>
      <c r="G7" s="144">
        <f>D7/C7*100</f>
        <v>80.14182668133488</v>
      </c>
      <c r="H7" s="143">
        <f>B7-D7</f>
        <v>12775.600000000035</v>
      </c>
      <c r="I7" s="143">
        <f t="shared" si="1"/>
        <v>52131.20000000001</v>
      </c>
      <c r="J7" s="168"/>
      <c r="K7" s="153"/>
      <c r="L7" s="139"/>
    </row>
    <row r="8" spans="1:12" s="93" customFormat="1" ht="18">
      <c r="A8" s="102" t="s">
        <v>3</v>
      </c>
      <c r="B8" s="126">
        <v>550357.7</v>
      </c>
      <c r="C8" s="127">
        <f>649221.9+8415.5-2000+877</f>
        <v>656514.4</v>
      </c>
      <c r="D8" s="10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</f>
        <v>502993.2000000002</v>
      </c>
      <c r="E8" s="106">
        <f>D8/D6*100</f>
        <v>82.6254687991006</v>
      </c>
      <c r="F8" s="106">
        <f>D8/B8*100</f>
        <v>91.39386984137775</v>
      </c>
      <c r="G8" s="106">
        <f t="shared" si="0"/>
        <v>76.61571475050664</v>
      </c>
      <c r="H8" s="104">
        <f>B8-D8</f>
        <v>47364.49999999977</v>
      </c>
      <c r="I8" s="104">
        <f t="shared" si="1"/>
        <v>153521.19999999984</v>
      </c>
      <c r="J8" s="166"/>
      <c r="K8" s="153"/>
      <c r="L8" s="139"/>
    </row>
    <row r="9" spans="1:12" s="93" customFormat="1" ht="18">
      <c r="A9" s="102" t="s">
        <v>2</v>
      </c>
      <c r="B9" s="126">
        <v>97.7</v>
      </c>
      <c r="C9" s="127">
        <v>97.7</v>
      </c>
      <c r="D9" s="104">
        <f>3.4+5.4+0.8+4.1+3.6+0.3+0.3+3.4+3.4+3.6+2.1+4+2.9</f>
        <v>37.300000000000004</v>
      </c>
      <c r="E9" s="128">
        <f>D9/D6*100</f>
        <v>0.006127180220739469</v>
      </c>
      <c r="F9" s="106">
        <f>D9/B9*100</f>
        <v>38.17809621289662</v>
      </c>
      <c r="G9" s="106">
        <f t="shared" si="0"/>
        <v>38.17809621289662</v>
      </c>
      <c r="H9" s="104">
        <f aca="true" t="shared" si="2" ref="H9:H43">B9-D9</f>
        <v>60.4</v>
      </c>
      <c r="I9" s="104">
        <f t="shared" si="1"/>
        <v>60.4</v>
      </c>
      <c r="J9" s="166"/>
      <c r="K9" s="153"/>
      <c r="L9" s="139"/>
    </row>
    <row r="10" spans="1:12" s="93" customFormat="1" ht="18">
      <c r="A10" s="102" t="s">
        <v>1</v>
      </c>
      <c r="B10" s="126">
        <v>32276.3</v>
      </c>
      <c r="C10" s="127">
        <f>52816.3-8415.5-19.2-3934.8</f>
        <v>40446.8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</f>
        <v>25165.199999999997</v>
      </c>
      <c r="E10" s="106">
        <f>D10/D6*100</f>
        <v>4.133826157934392</v>
      </c>
      <c r="F10" s="106">
        <f aca="true" t="shared" si="3" ref="F10:F41">D10/B10*100</f>
        <v>77.96804466435123</v>
      </c>
      <c r="G10" s="106">
        <f t="shared" si="0"/>
        <v>62.21802466449755</v>
      </c>
      <c r="H10" s="104">
        <f t="shared" si="2"/>
        <v>7111.100000000002</v>
      </c>
      <c r="I10" s="104">
        <f t="shared" si="1"/>
        <v>15281.600000000006</v>
      </c>
      <c r="J10" s="166"/>
      <c r="K10" s="153"/>
      <c r="L10" s="139"/>
    </row>
    <row r="11" spans="1:12" s="93" customFormat="1" ht="18">
      <c r="A11" s="102" t="s">
        <v>0</v>
      </c>
      <c r="B11" s="126">
        <f>61296.9+809.8</f>
        <v>62106.700000000004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</f>
        <v>55900.799999999996</v>
      </c>
      <c r="E11" s="106">
        <f>D11/D6*100</f>
        <v>9.182688366850208</v>
      </c>
      <c r="F11" s="106">
        <f t="shared" si="3"/>
        <v>90.00768033078556</v>
      </c>
      <c r="G11" s="106">
        <f t="shared" si="0"/>
        <v>63.39943111449842</v>
      </c>
      <c r="H11" s="104">
        <f t="shared" si="2"/>
        <v>6205.900000000009</v>
      </c>
      <c r="I11" s="104">
        <f t="shared" si="1"/>
        <v>32271.6</v>
      </c>
      <c r="J11" s="166"/>
      <c r="K11" s="153"/>
      <c r="L11" s="139"/>
    </row>
    <row r="12" spans="1:12" s="93" customFormat="1" ht="18">
      <c r="A12" s="102" t="s">
        <v>14</v>
      </c>
      <c r="B12" s="126">
        <v>10485.4</v>
      </c>
      <c r="C12" s="127">
        <v>12738</v>
      </c>
      <c r="D12" s="10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</f>
        <v>9196.899999999998</v>
      </c>
      <c r="E12" s="106">
        <f>D12/D6*100</f>
        <v>1.5107523799495657</v>
      </c>
      <c r="F12" s="106">
        <f t="shared" si="3"/>
        <v>87.71148454040855</v>
      </c>
      <c r="G12" s="106">
        <f t="shared" si="0"/>
        <v>72.20050243366303</v>
      </c>
      <c r="H12" s="104">
        <f>B12-D12</f>
        <v>1288.5000000000018</v>
      </c>
      <c r="I12" s="104">
        <f t="shared" si="1"/>
        <v>3541.100000000002</v>
      </c>
      <c r="J12" s="166"/>
      <c r="K12" s="153"/>
      <c r="L12" s="139"/>
    </row>
    <row r="13" spans="1:12" s="93" customFormat="1" ht="18.75" thickBot="1">
      <c r="A13" s="102" t="s">
        <v>27</v>
      </c>
      <c r="B13" s="127">
        <f>B6-B8-B9-B10-B11-B12</f>
        <v>27079.000000000073</v>
      </c>
      <c r="C13" s="127">
        <f>C6-C8-C9-C10-C11-C12</f>
        <v>29150.299999999945</v>
      </c>
      <c r="D13" s="127">
        <f>D6-D8-D9-D10-D11-D12</f>
        <v>15469.500000000076</v>
      </c>
      <c r="E13" s="106">
        <f>D13/D6*100</f>
        <v>2.541137115944495</v>
      </c>
      <c r="F13" s="106">
        <f t="shared" si="3"/>
        <v>57.12729421322808</v>
      </c>
      <c r="G13" s="106">
        <f t="shared" si="0"/>
        <v>53.06806447961121</v>
      </c>
      <c r="H13" s="104">
        <f t="shared" si="2"/>
        <v>11609.499999999996</v>
      </c>
      <c r="I13" s="104">
        <f t="shared" si="1"/>
        <v>13680.799999999868</v>
      </c>
      <c r="J13" s="166"/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8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8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8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8"/>
      <c r="K17" s="11"/>
      <c r="L17" s="11"/>
      <c r="M17" s="11"/>
    </row>
    <row r="18" spans="1:11" ht="18.75" thickBot="1">
      <c r="A18" s="20" t="s">
        <v>19</v>
      </c>
      <c r="B18" s="38">
        <v>333159.1</v>
      </c>
      <c r="C18" s="39">
        <f>424151.5+750.3+185.6-18990.5</f>
        <v>406096.89999999997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+2.3+1540.5+297.2+569.2+74.9</f>
        <v>301837.4000000001</v>
      </c>
      <c r="E18" s="3">
        <f>D18/D154*100</f>
        <v>19.462800415722402</v>
      </c>
      <c r="F18" s="3">
        <f>D18/B18*100</f>
        <v>90.59857587561021</v>
      </c>
      <c r="G18" s="3">
        <f t="shared" si="0"/>
        <v>74.3264477025065</v>
      </c>
      <c r="H18" s="40">
        <f>B18-D18</f>
        <v>31321.699999999895</v>
      </c>
      <c r="I18" s="40">
        <f t="shared" si="1"/>
        <v>104259.49999999988</v>
      </c>
      <c r="J18" s="166"/>
      <c r="K18" s="153"/>
    </row>
    <row r="19" spans="1:13" s="94" customFormat="1" ht="18.75">
      <c r="A19" s="140" t="s">
        <v>82</v>
      </c>
      <c r="B19" s="141">
        <v>196322.3</v>
      </c>
      <c r="C19" s="142">
        <f>226186+750.3+185.6+589.9</f>
        <v>227711.8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</f>
        <v>190528.2</v>
      </c>
      <c r="E19" s="144">
        <f>D19/D18*100</f>
        <v>63.12279392812156</v>
      </c>
      <c r="F19" s="144">
        <f t="shared" si="3"/>
        <v>97.04867964566431</v>
      </c>
      <c r="G19" s="144">
        <f t="shared" si="0"/>
        <v>83.67076277997013</v>
      </c>
      <c r="H19" s="143">
        <f t="shared" si="2"/>
        <v>5794.099999999977</v>
      </c>
      <c r="I19" s="143">
        <f t="shared" si="1"/>
        <v>37183.59999999998</v>
      </c>
      <c r="J19" s="168"/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J20" s="166"/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J21" s="166"/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J22" s="166"/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J23" s="166"/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J24" s="166"/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333159.1</v>
      </c>
      <c r="C25" s="127">
        <f>C18</f>
        <v>406096.89999999997</v>
      </c>
      <c r="D25" s="127">
        <f>D18</f>
        <v>301837.4000000001</v>
      </c>
      <c r="E25" s="106">
        <f>D25/D18*100</f>
        <v>100</v>
      </c>
      <c r="F25" s="106">
        <f t="shared" si="3"/>
        <v>90.59857587561021</v>
      </c>
      <c r="G25" s="106">
        <f t="shared" si="0"/>
        <v>74.3264477025065</v>
      </c>
      <c r="H25" s="104">
        <f t="shared" si="2"/>
        <v>31321.699999999895</v>
      </c>
      <c r="I25" s="104">
        <f t="shared" si="1"/>
        <v>104259.49999999988</v>
      </c>
      <c r="J25" s="166"/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6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6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6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6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6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6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6"/>
      <c r="K32" s="153">
        <f t="shared" si="4"/>
        <v>0</v>
      </c>
    </row>
    <row r="33" spans="1:11" ht="18.75" thickBot="1">
      <c r="A33" s="20" t="s">
        <v>17</v>
      </c>
      <c r="B33" s="38">
        <f>20177.6+27.7+2</f>
        <v>20207.3</v>
      </c>
      <c r="C33" s="39">
        <f>24805.1-17.2+81.6</f>
        <v>24869.499999999996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</f>
        <v>18057.400000000005</v>
      </c>
      <c r="E33" s="3">
        <f>D33/D154*100</f>
        <v>1.1643605869480245</v>
      </c>
      <c r="F33" s="3">
        <f>D33/B33*100</f>
        <v>89.36077556130708</v>
      </c>
      <c r="G33" s="3">
        <f t="shared" si="0"/>
        <v>72.60861698063896</v>
      </c>
      <c r="H33" s="40">
        <f t="shared" si="2"/>
        <v>2149.899999999994</v>
      </c>
      <c r="I33" s="40">
        <f t="shared" si="1"/>
        <v>6812.099999999991</v>
      </c>
      <c r="J33" s="169"/>
      <c r="K33" s="153"/>
    </row>
    <row r="34" spans="1:11" s="93" customFormat="1" ht="18">
      <c r="A34" s="102" t="s">
        <v>3</v>
      </c>
      <c r="B34" s="126">
        <v>10871.7</v>
      </c>
      <c r="C34" s="127">
        <f>12906.6+40</f>
        <v>12946.6</v>
      </c>
      <c r="D34" s="104">
        <f>364.6+548.1+389.3+522.2+63+395+556.7+63+391.3+512.8+63+394.6+664.3+89.8+0.3+456.7+632.3+12+89.8+485+19+3.6+623.1+89.8+9.9+419.4+475.8+71.8+336.5+18.5+2.5+155.1+372.7+96+254.3+89.8</f>
        <v>9731.6</v>
      </c>
      <c r="E34" s="106">
        <f>D34/D33*100</f>
        <v>53.89258697265385</v>
      </c>
      <c r="F34" s="106">
        <f t="shared" si="3"/>
        <v>89.51313961937876</v>
      </c>
      <c r="G34" s="106">
        <f t="shared" si="0"/>
        <v>75.16722537191231</v>
      </c>
      <c r="H34" s="104">
        <f t="shared" si="2"/>
        <v>1140.1000000000004</v>
      </c>
      <c r="I34" s="104">
        <f t="shared" si="1"/>
        <v>3215</v>
      </c>
      <c r="J34" s="166"/>
      <c r="K34" s="153"/>
    </row>
    <row r="35" spans="1:11" s="93" customFormat="1" ht="18">
      <c r="A35" s="102" t="s">
        <v>1</v>
      </c>
      <c r="B35" s="126">
        <v>59.6</v>
      </c>
      <c r="C35" s="127">
        <v>81.1</v>
      </c>
      <c r="D35" s="104">
        <f>6.8+8.7+11.6+32.5</f>
        <v>59.6</v>
      </c>
      <c r="E35" s="106">
        <f>D35/D33*100</f>
        <v>0.3300585909377872</v>
      </c>
      <c r="F35" s="106">
        <f t="shared" si="3"/>
        <v>100</v>
      </c>
      <c r="G35" s="106">
        <f t="shared" si="0"/>
        <v>73.48951911220716</v>
      </c>
      <c r="H35" s="104">
        <f t="shared" si="2"/>
        <v>0</v>
      </c>
      <c r="I35" s="104">
        <f t="shared" si="1"/>
        <v>21.499999999999993</v>
      </c>
      <c r="J35" s="166"/>
      <c r="K35" s="153"/>
    </row>
    <row r="36" spans="1:11" s="93" customFormat="1" ht="18">
      <c r="A36" s="102" t="s">
        <v>0</v>
      </c>
      <c r="B36" s="126">
        <f>1155.9+27.7</f>
        <v>1183.6000000000001</v>
      </c>
      <c r="C36" s="127">
        <v>1783</v>
      </c>
      <c r="D36" s="104">
        <f>0.3+11.3+141.7+12.6+0.9+12.9+1.3+0.5+169.4+1.1+0.1+0.4+11.3+166.1+3.8+5.1+2.9+0.2+0.5+11.9+319.9+44.3+12.2+0.9-0.2+8.4+29.5+8.6+0.2+7.6+0.4+4.3+0.1+0.3+7.8+4.8+0.2+5.5+2.5+0.2+2.6+6.1</f>
        <v>1020.4999999999999</v>
      </c>
      <c r="E36" s="106">
        <f>D36/D33*100</f>
        <v>5.651422685436439</v>
      </c>
      <c r="F36" s="106">
        <f t="shared" si="3"/>
        <v>86.2200067590402</v>
      </c>
      <c r="G36" s="106">
        <f t="shared" si="0"/>
        <v>57.23499719573751</v>
      </c>
      <c r="H36" s="104">
        <f t="shared" si="2"/>
        <v>163.10000000000025</v>
      </c>
      <c r="I36" s="104">
        <f t="shared" si="1"/>
        <v>762.5000000000001</v>
      </c>
      <c r="J36" s="166"/>
      <c r="K36" s="153"/>
    </row>
    <row r="37" spans="1:12" s="94" customFormat="1" ht="18.75">
      <c r="A37" s="117" t="s">
        <v>7</v>
      </c>
      <c r="B37" s="137">
        <f>766.6+2</f>
        <v>768.6</v>
      </c>
      <c r="C37" s="138">
        <v>1008</v>
      </c>
      <c r="D37" s="108">
        <f>44.8+25.1+1.6+0.5+2.7+1+6.3+8.5+2.5+36.6+1.5+4.5+23.6+4.1+106.1+32.6+9.7+2.5+4.3+1.9+2.2+5.9+0.2+124.8+6.7+179.9+41.5+2.4+6.3+14.7+42.8</f>
        <v>747.7999999999998</v>
      </c>
      <c r="E37" s="112">
        <f>D37/D33*100</f>
        <v>4.14123849502143</v>
      </c>
      <c r="F37" s="112">
        <f t="shared" si="3"/>
        <v>97.29378090033826</v>
      </c>
      <c r="G37" s="112">
        <f t="shared" si="0"/>
        <v>74.18650793650792</v>
      </c>
      <c r="H37" s="108">
        <f t="shared" si="2"/>
        <v>20.800000000000182</v>
      </c>
      <c r="I37" s="108">
        <f t="shared" si="1"/>
        <v>260.20000000000016</v>
      </c>
      <c r="J37" s="168"/>
      <c r="K37" s="153"/>
      <c r="L37" s="139"/>
    </row>
    <row r="38" spans="1:11" s="93" customFormat="1" ht="18">
      <c r="A38" s="102" t="s">
        <v>14</v>
      </c>
      <c r="B38" s="126">
        <v>39.3</v>
      </c>
      <c r="C38" s="127">
        <f>80.8+8.7</f>
        <v>89.5</v>
      </c>
      <c r="D38" s="127">
        <f>5.1+5.1+5.1+5.1+5.1+8.7</f>
        <v>34.2</v>
      </c>
      <c r="E38" s="106">
        <f>D38/D33*100</f>
        <v>0.18939603708175037</v>
      </c>
      <c r="F38" s="106">
        <f t="shared" si="3"/>
        <v>87.02290076335879</v>
      </c>
      <c r="G38" s="106">
        <f t="shared" si="0"/>
        <v>38.2122905027933</v>
      </c>
      <c r="H38" s="104">
        <f t="shared" si="2"/>
        <v>5.099999999999994</v>
      </c>
      <c r="I38" s="104">
        <f t="shared" si="1"/>
        <v>55.3</v>
      </c>
      <c r="J38" s="166"/>
      <c r="K38" s="153"/>
    </row>
    <row r="39" spans="1:11" s="93" customFormat="1" ht="18.75" thickBot="1">
      <c r="A39" s="102" t="s">
        <v>27</v>
      </c>
      <c r="B39" s="126">
        <f>B33-B34-B36-B37-B35-B38</f>
        <v>7284.499999999997</v>
      </c>
      <c r="C39" s="126">
        <f>C33-C34-C36-C37-C35-C38</f>
        <v>8961.299999999996</v>
      </c>
      <c r="D39" s="126">
        <f>D33-D34-D36-D37-D35-D38</f>
        <v>6463.700000000004</v>
      </c>
      <c r="E39" s="106">
        <f>D39/D33*100</f>
        <v>35.79529721886873</v>
      </c>
      <c r="F39" s="106">
        <f t="shared" si="3"/>
        <v>88.73223968700675</v>
      </c>
      <c r="G39" s="106">
        <f t="shared" si="0"/>
        <v>72.12904377713063</v>
      </c>
      <c r="H39" s="104">
        <f>B39-D39</f>
        <v>820.7999999999929</v>
      </c>
      <c r="I39" s="104">
        <f t="shared" si="1"/>
        <v>2497.5999999999913</v>
      </c>
      <c r="J39" s="166"/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6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6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6"/>
      <c r="K42" s="153">
        <f>C42-B42</f>
        <v>0</v>
      </c>
    </row>
    <row r="43" spans="1:11" ht="19.5" thickBot="1">
      <c r="A43" s="12" t="s">
        <v>16</v>
      </c>
      <c r="B43" s="76">
        <f>1293.5-2</f>
        <v>1291.5</v>
      </c>
      <c r="C43" s="39">
        <f>1126.9+467</f>
        <v>1593.9</v>
      </c>
      <c r="D43" s="40">
        <f>63.9+1.1+0.6+70.8+0.5+48+6.7+2+13.7+10.4+20.2+0.7+37.4+27+181.7+0.2+2.1+7.5+10+0.2+3.3+24.2+12.6+1.5+22+2.4+8+14.4+3.9+1.2+1.7+0.1</f>
        <v>600</v>
      </c>
      <c r="E43" s="3">
        <f>D43/D154*100</f>
        <v>0.03868864577230468</v>
      </c>
      <c r="F43" s="3">
        <f>D43/B43*100</f>
        <v>46.45760743321719</v>
      </c>
      <c r="G43" s="3">
        <f t="shared" si="0"/>
        <v>37.64351590438547</v>
      </c>
      <c r="H43" s="40">
        <f t="shared" si="2"/>
        <v>691.5</v>
      </c>
      <c r="I43" s="40">
        <f t="shared" si="1"/>
        <v>993.9000000000001</v>
      </c>
      <c r="J43" s="166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6"/>
      <c r="K44" s="153"/>
    </row>
    <row r="45" spans="1:11" ht="18.75" thickBot="1">
      <c r="A45" s="20" t="s">
        <v>44</v>
      </c>
      <c r="B45" s="38">
        <v>11184.3</v>
      </c>
      <c r="C45" s="39">
        <v>13576.3</v>
      </c>
      <c r="D45" s="40">
        <f>237.1+562.8+52.3+349.2+679.9+375.9+891+78.3+327.4+13.5+670.2+386.5+179.9+781.7-0.1+25.5+366.5+16.5+692.2+3.8+389.3+707.6+15.1+379.9+4.5+611.9+360.8+661.9+337.6</f>
        <v>10158.699999999999</v>
      </c>
      <c r="E45" s="3">
        <f>D45/D154*100</f>
        <v>0.6550439096785192</v>
      </c>
      <c r="F45" s="3">
        <f>D45/B45*100</f>
        <v>90.83000277174253</v>
      </c>
      <c r="G45" s="3">
        <f aca="true" t="shared" si="5" ref="G45:G76">D45/C45*100</f>
        <v>74.82672009310342</v>
      </c>
      <c r="H45" s="40">
        <f>B45-D45</f>
        <v>1025.6000000000004</v>
      </c>
      <c r="I45" s="40">
        <f aca="true" t="shared" si="6" ref="I45:I77">C45-D45</f>
        <v>3417.6000000000004</v>
      </c>
      <c r="J45" s="166"/>
      <c r="K45" s="153"/>
    </row>
    <row r="46" spans="1:11" s="93" customFormat="1" ht="18">
      <c r="A46" s="102" t="s">
        <v>3</v>
      </c>
      <c r="B46" s="126">
        <v>10237.9</v>
      </c>
      <c r="C46" s="127">
        <v>12256.4</v>
      </c>
      <c r="D46" s="104">
        <f>237.1+551.8+334.1+652.5+314.7+746.1+319.2+661.7+342.8+781.7+0.2-0.1+366.5+692.2+367.7+697.1+14.1+359.1+599.6+318.9+654.8+315</f>
        <v>9326.8</v>
      </c>
      <c r="E46" s="106">
        <f>D46/D45*100</f>
        <v>91.81096006378769</v>
      </c>
      <c r="F46" s="106">
        <f aca="true" t="shared" si="7" ref="F46:F74">D46/B46*100</f>
        <v>91.10071401361607</v>
      </c>
      <c r="G46" s="106">
        <f t="shared" si="5"/>
        <v>76.09738585555301</v>
      </c>
      <c r="H46" s="104">
        <f aca="true" t="shared" si="8" ref="H46:H74">B46-D46</f>
        <v>911.1000000000004</v>
      </c>
      <c r="I46" s="104">
        <f t="shared" si="6"/>
        <v>2929.6000000000004</v>
      </c>
      <c r="J46" s="166"/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>
        <f>0.7</f>
        <v>0.7</v>
      </c>
      <c r="E47" s="106">
        <f>D47/D45*100</f>
        <v>0.0068906454566037</v>
      </c>
      <c r="F47" s="106">
        <f t="shared" si="7"/>
        <v>87.49999999999999</v>
      </c>
      <c r="G47" s="106">
        <f t="shared" si="5"/>
        <v>46.666666666666664</v>
      </c>
      <c r="H47" s="104">
        <f t="shared" si="8"/>
        <v>0.10000000000000009</v>
      </c>
      <c r="I47" s="104">
        <f t="shared" si="6"/>
        <v>0.8</v>
      </c>
      <c r="J47" s="166"/>
      <c r="K47" s="153"/>
    </row>
    <row r="48" spans="1:11" s="93" customFormat="1" ht="18">
      <c r="A48" s="102" t="s">
        <v>1</v>
      </c>
      <c r="B48" s="126">
        <v>68.2</v>
      </c>
      <c r="C48" s="127">
        <v>98.9</v>
      </c>
      <c r="D48" s="104">
        <f>5.7+6.1+6.5+7.7+8.4+7+0.1+8.9</f>
        <v>50.4</v>
      </c>
      <c r="E48" s="106">
        <f>D48/D45*100</f>
        <v>0.4961264728754664</v>
      </c>
      <c r="F48" s="106">
        <f t="shared" si="7"/>
        <v>73.90029325513196</v>
      </c>
      <c r="G48" s="106">
        <f t="shared" si="5"/>
        <v>50.96056622851365</v>
      </c>
      <c r="H48" s="104">
        <f t="shared" si="8"/>
        <v>17.800000000000004</v>
      </c>
      <c r="I48" s="104">
        <f t="shared" si="6"/>
        <v>48.50000000000001</v>
      </c>
      <c r="J48" s="166"/>
      <c r="K48" s="153"/>
    </row>
    <row r="49" spans="1:11" s="93" customFormat="1" ht="18">
      <c r="A49" s="102" t="s">
        <v>0</v>
      </c>
      <c r="B49" s="126">
        <v>594.9</v>
      </c>
      <c r="C49" s="127">
        <v>879.8</v>
      </c>
      <c r="D49" s="104">
        <f>7.3+51.9+12.7-0.1+54.5+131.2+49.5+2.4+7.9+11.2+178.3+0.4+4.1+0.1+0.6+1.4+0.5+0.8+4.5+4.5+1+5+1.4</f>
        <v>531.0999999999999</v>
      </c>
      <c r="E49" s="106">
        <f>D49/D45*100</f>
        <v>5.2280311457174635</v>
      </c>
      <c r="F49" s="106">
        <f t="shared" si="7"/>
        <v>89.27550848882164</v>
      </c>
      <c r="G49" s="106">
        <f t="shared" si="5"/>
        <v>60.36599227097067</v>
      </c>
      <c r="H49" s="104">
        <f t="shared" si="8"/>
        <v>63.80000000000007</v>
      </c>
      <c r="I49" s="104">
        <f t="shared" si="6"/>
        <v>348.70000000000005</v>
      </c>
      <c r="J49" s="166"/>
      <c r="K49" s="153"/>
    </row>
    <row r="50" spans="1:11" s="93" customFormat="1" ht="18.75" thickBot="1">
      <c r="A50" s="102" t="s">
        <v>27</v>
      </c>
      <c r="B50" s="127">
        <f>B45-B46-B49-B48-B47</f>
        <v>282.49999999999966</v>
      </c>
      <c r="C50" s="127">
        <f>C45-C46-C49-C48-C47</f>
        <v>339.6999999999997</v>
      </c>
      <c r="D50" s="127">
        <f>D45-D46-D49-D48-D47</f>
        <v>249.69999999999973</v>
      </c>
      <c r="E50" s="106">
        <f>D50/D45*100</f>
        <v>2.4579916721627746</v>
      </c>
      <c r="F50" s="106">
        <f t="shared" si="7"/>
        <v>88.38938053097345</v>
      </c>
      <c r="G50" s="106">
        <f t="shared" si="5"/>
        <v>73.50603473653223</v>
      </c>
      <c r="H50" s="104">
        <f t="shared" si="8"/>
        <v>32.799999999999926</v>
      </c>
      <c r="I50" s="104">
        <f t="shared" si="6"/>
        <v>89.99999999999997</v>
      </c>
      <c r="J50" s="166"/>
      <c r="K50" s="153"/>
    </row>
    <row r="51" spans="1:11" ht="18.75" thickBot="1">
      <c r="A51" s="20" t="s">
        <v>4</v>
      </c>
      <c r="B51" s="38">
        <f>30742.3+124.4</f>
        <v>30866.7</v>
      </c>
      <c r="C51" s="39">
        <f>37135.4+450-426+576.2</f>
        <v>37735.6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</f>
        <v>24918.7</v>
      </c>
      <c r="E51" s="3">
        <f>D51/D154*100</f>
        <v>1.6067845956772144</v>
      </c>
      <c r="F51" s="3">
        <f>D51/B51*100</f>
        <v>80.73004240816155</v>
      </c>
      <c r="G51" s="3">
        <f t="shared" si="5"/>
        <v>66.03499083093949</v>
      </c>
      <c r="H51" s="40">
        <f>B51-D51</f>
        <v>5948</v>
      </c>
      <c r="I51" s="40">
        <f t="shared" si="6"/>
        <v>12816.899999999998</v>
      </c>
      <c r="J51" s="166"/>
      <c r="K51" s="153"/>
    </row>
    <row r="52" spans="1:11" s="93" customFormat="1" ht="18">
      <c r="A52" s="102" t="s">
        <v>3</v>
      </c>
      <c r="B52" s="126">
        <v>16585.9</v>
      </c>
      <c r="C52" s="127">
        <f>20097.4+82.2</f>
        <v>20179.600000000002</v>
      </c>
      <c r="D52" s="104">
        <f>632.9+34.3+767.3+737.6+710.6+649.6+792.4+1.6+643.1+825.6+650.1+947+1196.1+785.4+658.1+439+623.6+358.8+550.5+716.3+1140.3+694.7</f>
        <v>14554.9</v>
      </c>
      <c r="E52" s="106">
        <f>D52/D51*100</f>
        <v>58.409547849606916</v>
      </c>
      <c r="F52" s="106">
        <f t="shared" si="7"/>
        <v>87.75465907789145</v>
      </c>
      <c r="G52" s="106">
        <f t="shared" si="5"/>
        <v>72.1268013241095</v>
      </c>
      <c r="H52" s="104">
        <f t="shared" si="8"/>
        <v>2031.0000000000018</v>
      </c>
      <c r="I52" s="104">
        <f t="shared" si="6"/>
        <v>5624.700000000003</v>
      </c>
      <c r="J52" s="166"/>
      <c r="K52" s="153"/>
    </row>
    <row r="53" spans="1:11" s="93" customFormat="1" ht="18">
      <c r="A53" s="102" t="s">
        <v>2</v>
      </c>
      <c r="B53" s="126">
        <v>10.7</v>
      </c>
      <c r="C53" s="127">
        <f>13.9+1.38435</f>
        <v>15.28435</v>
      </c>
      <c r="D53" s="104">
        <v>1</v>
      </c>
      <c r="E53" s="106">
        <f>D53/D51*100</f>
        <v>0.004013050440030981</v>
      </c>
      <c r="F53" s="106">
        <f>D53/B53*100</f>
        <v>9.345794392523366</v>
      </c>
      <c r="G53" s="106">
        <f t="shared" si="5"/>
        <v>6.542640020674742</v>
      </c>
      <c r="H53" s="104">
        <f t="shared" si="8"/>
        <v>9.7</v>
      </c>
      <c r="I53" s="104">
        <f t="shared" si="6"/>
        <v>14.28435</v>
      </c>
      <c r="J53" s="166"/>
      <c r="K53" s="153"/>
    </row>
    <row r="54" spans="1:11" s="93" customFormat="1" ht="18">
      <c r="A54" s="102" t="s">
        <v>1</v>
      </c>
      <c r="B54" s="126">
        <v>869.1</v>
      </c>
      <c r="C54" s="127">
        <f>993.6+100</f>
        <v>1093.6</v>
      </c>
      <c r="D54" s="104">
        <f>0.2+4.2+9+4.7+9.6+6.3+43.2+2.7+18.4+3.8+23.8+5.3+12.2+43.2+26.7+3.8+22.4+0.4+59.7+30.3+3.3+19.2+7+2.9+21+4.4-0.4+4.8+2.2+3.6+32.5+6.4+7.8+23.5+0.7+4.2+10.2+2.2+1.8+2+15.6+1.8+2.2+4.1+5.9+16.2+64.8+35.5+24.1+15</f>
        <v>674.4</v>
      </c>
      <c r="E54" s="106">
        <f>D54/D51*100</f>
        <v>2.7064012167568934</v>
      </c>
      <c r="F54" s="106">
        <f t="shared" si="7"/>
        <v>77.59751467034863</v>
      </c>
      <c r="G54" s="106">
        <f t="shared" si="5"/>
        <v>61.667885881492325</v>
      </c>
      <c r="H54" s="104">
        <f t="shared" si="8"/>
        <v>194.70000000000005</v>
      </c>
      <c r="I54" s="104">
        <f t="shared" si="6"/>
        <v>419.19999999999993</v>
      </c>
      <c r="J54" s="166"/>
      <c r="K54" s="153"/>
    </row>
    <row r="55" spans="1:11" s="93" customFormat="1" ht="18">
      <c r="A55" s="102" t="s">
        <v>0</v>
      </c>
      <c r="B55" s="126">
        <f>824+106.2</f>
        <v>930.2</v>
      </c>
      <c r="C55" s="127">
        <v>1219.9</v>
      </c>
      <c r="D55" s="104">
        <f>0.5+1+2.8+12.3+8.3+0.5+0.4+8.7+15+0.3+1.3+64.9+33.6+8.1+0.1+94.7+0.3+9.8+7.8+0.9+1.8+16.2+18.3+3.3+0.1+11.4+0.1+11.4+1.3+76.9+6.2+11.6+2.1+2.4+24+0.1+0.5+16.3+2.5+1.1+3.8+2.1+10.3+5.8+0.4+0.3+0.3+9.3+0.2+0.6+1.1-0.2+0.5+0.1+1+9.6+1.7+0.2+0.8+20+0.5+1.3+11.9+2.6+1</f>
        <v>564.1000000000001</v>
      </c>
      <c r="E55" s="106">
        <f>D55/D51*100</f>
        <v>2.263761753221477</v>
      </c>
      <c r="F55" s="106">
        <f t="shared" si="7"/>
        <v>60.64287250053753</v>
      </c>
      <c r="G55" s="106">
        <f t="shared" si="5"/>
        <v>46.241495204524966</v>
      </c>
      <c r="H55" s="104">
        <f t="shared" si="8"/>
        <v>366.0999999999999</v>
      </c>
      <c r="I55" s="104">
        <f t="shared" si="6"/>
        <v>655.8</v>
      </c>
      <c r="J55" s="166"/>
      <c r="K55" s="153"/>
    </row>
    <row r="56" spans="1:11" s="93" customFormat="1" ht="18">
      <c r="A56" s="102" t="s">
        <v>14</v>
      </c>
      <c r="B56" s="126">
        <v>1100</v>
      </c>
      <c r="C56" s="127">
        <v>1320</v>
      </c>
      <c r="D56" s="127">
        <f>110+110+110+110+110+110+110+110+110+106</f>
        <v>1096</v>
      </c>
      <c r="E56" s="106">
        <f>D56/D51*100</f>
        <v>4.398303282273955</v>
      </c>
      <c r="F56" s="106">
        <f>D56/B56*100</f>
        <v>99.63636363636364</v>
      </c>
      <c r="G56" s="106">
        <f>D56/C56*100</f>
        <v>83.03030303030303</v>
      </c>
      <c r="H56" s="104">
        <f t="shared" si="8"/>
        <v>4</v>
      </c>
      <c r="I56" s="104">
        <f t="shared" si="6"/>
        <v>224</v>
      </c>
      <c r="J56" s="166"/>
      <c r="K56" s="153"/>
    </row>
    <row r="57" spans="1:11" s="93" customFormat="1" ht="18.75" thickBot="1">
      <c r="A57" s="102" t="s">
        <v>27</v>
      </c>
      <c r="B57" s="127">
        <f>B51-B52-B55-B54-B53-B56</f>
        <v>11370.799999999997</v>
      </c>
      <c r="C57" s="127">
        <f>C51-C52-C55-C54-C53-C56</f>
        <v>13907.215649999996</v>
      </c>
      <c r="D57" s="127">
        <f>D51-D52-D55-D54-D53-D56</f>
        <v>8028.300000000001</v>
      </c>
      <c r="E57" s="106">
        <f>D57/D51*100</f>
        <v>32.21797284770073</v>
      </c>
      <c r="F57" s="106">
        <f t="shared" si="7"/>
        <v>70.60453090371833</v>
      </c>
      <c r="G57" s="106">
        <f t="shared" si="5"/>
        <v>57.72758690198353</v>
      </c>
      <c r="H57" s="104">
        <f>B57-D57</f>
        <v>3342.4999999999964</v>
      </c>
      <c r="I57" s="104">
        <f>C57-D57</f>
        <v>5878.915649999995</v>
      </c>
      <c r="J57" s="166"/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8"/>
      <c r="K58" s="153">
        <f>C58-B58</f>
        <v>0</v>
      </c>
    </row>
    <row r="59" spans="1:11" ht="18.75" thickBot="1">
      <c r="A59" s="20" t="s">
        <v>6</v>
      </c>
      <c r="B59" s="38">
        <f>8862+38.1</f>
        <v>8900.1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</f>
        <v>7209.300000000001</v>
      </c>
      <c r="E59" s="3">
        <f>D59/D154*100</f>
        <v>0.464863423277127</v>
      </c>
      <c r="F59" s="3">
        <f>D59/B59*100</f>
        <v>81.0024606465096</v>
      </c>
      <c r="G59" s="3">
        <f t="shared" si="5"/>
        <v>75.12348123293667</v>
      </c>
      <c r="H59" s="40">
        <f>B59-D59</f>
        <v>1690.7999999999993</v>
      </c>
      <c r="I59" s="40">
        <f t="shared" si="6"/>
        <v>2387.2999999999993</v>
      </c>
      <c r="J59" s="166"/>
      <c r="K59" s="153"/>
    </row>
    <row r="60" spans="1:11" s="93" customFormat="1" ht="18">
      <c r="A60" s="102" t="s">
        <v>3</v>
      </c>
      <c r="B60" s="126">
        <v>2608.2</v>
      </c>
      <c r="C60" s="127">
        <v>3119.7</v>
      </c>
      <c r="D60" s="104">
        <f>77.7+79.1+76.9+40.5+47.3+155.9+45+29.2+85.8+95.3+38.3+30.7+89.8+79.1+80.7+178.9+50.9+35.4+119.2+73+83.9+167.9+42.3+43+65+68.5+34.6+47.8+164.9+73.8</f>
        <v>2300.4000000000005</v>
      </c>
      <c r="E60" s="106">
        <f>D60/D59*100</f>
        <v>31.90878448670468</v>
      </c>
      <c r="F60" s="106">
        <f t="shared" si="7"/>
        <v>88.19875776397518</v>
      </c>
      <c r="G60" s="106">
        <f t="shared" si="5"/>
        <v>73.73785940955864</v>
      </c>
      <c r="H60" s="104">
        <f t="shared" si="8"/>
        <v>307.7999999999993</v>
      </c>
      <c r="I60" s="104">
        <f t="shared" si="6"/>
        <v>819.2999999999993</v>
      </c>
      <c r="J60" s="166"/>
      <c r="K60" s="153"/>
    </row>
    <row r="61" spans="1:11" s="93" customFormat="1" ht="18">
      <c r="A61" s="102" t="s">
        <v>1</v>
      </c>
      <c r="B61" s="126">
        <v>393.1</v>
      </c>
      <c r="C61" s="127">
        <f>360.7+32.4</f>
        <v>393.09999999999997</v>
      </c>
      <c r="D61" s="104">
        <f>127+93.7+101.3+69.1</f>
        <v>391.1</v>
      </c>
      <c r="E61" s="106">
        <f>D61/D59*100</f>
        <v>5.42493723385072</v>
      </c>
      <c r="F61" s="106">
        <f>D61/B61*100</f>
        <v>99.49122360722463</v>
      </c>
      <c r="G61" s="106">
        <f t="shared" si="5"/>
        <v>99.49122360722464</v>
      </c>
      <c r="H61" s="104">
        <f t="shared" si="8"/>
        <v>2</v>
      </c>
      <c r="I61" s="104">
        <f t="shared" si="6"/>
        <v>1.9999999999999432</v>
      </c>
      <c r="J61" s="166"/>
      <c r="K61" s="153"/>
    </row>
    <row r="62" spans="1:11" s="93" customFormat="1" ht="18">
      <c r="A62" s="102" t="s">
        <v>0</v>
      </c>
      <c r="B62" s="126">
        <f>253.5+38.1</f>
        <v>291.6</v>
      </c>
      <c r="C62" s="127">
        <v>393.7</v>
      </c>
      <c r="D62" s="104">
        <f>10.9+43.2+13-3+39.2+5.7+50.2+3.5+0.2+29.7+2.5+1.8+22+0.1+0.7+2.1+0.1+0.1+2.2+0.1+0.1+2.1+1.2+0.5+0.1+0.6</f>
        <v>228.8999999999999</v>
      </c>
      <c r="E62" s="106">
        <f>D62/D59*100</f>
        <v>3.175065540343721</v>
      </c>
      <c r="F62" s="106">
        <f t="shared" si="7"/>
        <v>78.49794238683123</v>
      </c>
      <c r="G62" s="106">
        <f t="shared" si="5"/>
        <v>58.14071628143254</v>
      </c>
      <c r="H62" s="104">
        <f t="shared" si="8"/>
        <v>62.70000000000013</v>
      </c>
      <c r="I62" s="104">
        <f t="shared" si="6"/>
        <v>164.8000000000001</v>
      </c>
      <c r="J62" s="166"/>
      <c r="K62" s="153"/>
    </row>
    <row r="63" spans="1:11" s="93" customFormat="1" ht="18">
      <c r="A63" s="102" t="s">
        <v>14</v>
      </c>
      <c r="B63" s="126">
        <v>4866.6</v>
      </c>
      <c r="C63" s="127">
        <v>4866.6</v>
      </c>
      <c r="D63" s="104">
        <f>136+283.5+578.4+584+1151+850.5</f>
        <v>3583.4</v>
      </c>
      <c r="E63" s="106">
        <f>D63/D59*100</f>
        <v>49.70524184040059</v>
      </c>
      <c r="F63" s="106">
        <f t="shared" si="7"/>
        <v>73.63251551391114</v>
      </c>
      <c r="G63" s="106">
        <f t="shared" si="5"/>
        <v>73.63251551391114</v>
      </c>
      <c r="H63" s="104">
        <f t="shared" si="8"/>
        <v>1283.2000000000003</v>
      </c>
      <c r="I63" s="104">
        <f t="shared" si="6"/>
        <v>1283.2000000000003</v>
      </c>
      <c r="J63" s="166"/>
      <c r="K63" s="153"/>
    </row>
    <row r="64" spans="1:11" s="93" customFormat="1" ht="18.75" thickBot="1">
      <c r="A64" s="102" t="s">
        <v>27</v>
      </c>
      <c r="B64" s="127">
        <f>B59-B60-B62-B63-B61</f>
        <v>740.5999999999998</v>
      </c>
      <c r="C64" s="127">
        <f>C59-C60-C62-C63-C61</f>
        <v>823.5000000000005</v>
      </c>
      <c r="D64" s="127">
        <f>D59-D60-D62-D63-D61</f>
        <v>705.5000000000008</v>
      </c>
      <c r="E64" s="106">
        <f>D64/D59*100</f>
        <v>9.785970898700299</v>
      </c>
      <c r="F64" s="106">
        <f t="shared" si="7"/>
        <v>95.26059951390778</v>
      </c>
      <c r="G64" s="106">
        <f t="shared" si="5"/>
        <v>85.67091681845785</v>
      </c>
      <c r="H64" s="104">
        <f t="shared" si="8"/>
        <v>35.099999999999</v>
      </c>
      <c r="I64" s="104">
        <f t="shared" si="6"/>
        <v>117.99999999999966</v>
      </c>
      <c r="J64" s="166"/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8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8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8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8"/>
      <c r="K68" s="153">
        <f>C68-B68</f>
        <v>0</v>
      </c>
    </row>
    <row r="69" spans="1:11" ht="18.75" thickBot="1">
      <c r="A69" s="20" t="s">
        <v>20</v>
      </c>
      <c r="B69" s="39">
        <f>B70+B71</f>
        <v>394.26300000000003</v>
      </c>
      <c r="C69" s="39">
        <f>C70+C71</f>
        <v>418</v>
      </c>
      <c r="D69" s="40">
        <f>D70+D71</f>
        <v>227</v>
      </c>
      <c r="E69" s="30">
        <f>D69/D154*100</f>
        <v>0.014637204317188604</v>
      </c>
      <c r="F69" s="3">
        <f>D69/B69*100</f>
        <v>57.575780633739406</v>
      </c>
      <c r="G69" s="3">
        <f t="shared" si="5"/>
        <v>54.30622009569378</v>
      </c>
      <c r="H69" s="40">
        <f>B69-D69</f>
        <v>167.26300000000003</v>
      </c>
      <c r="I69" s="40">
        <f t="shared" si="6"/>
        <v>191</v>
      </c>
      <c r="J69" s="166"/>
      <c r="K69" s="153"/>
    </row>
    <row r="70" spans="1:11" s="93" customFormat="1" ht="18">
      <c r="A70" s="102" t="s">
        <v>8</v>
      </c>
      <c r="B70" s="126">
        <v>226.963</v>
      </c>
      <c r="C70" s="127">
        <f>292.7-53.1-12</f>
        <v>227.6</v>
      </c>
      <c r="D70" s="104">
        <f>169.5+50+6+1.5</f>
        <v>227</v>
      </c>
      <c r="E70" s="106">
        <f>D70/D69*100</f>
        <v>100</v>
      </c>
      <c r="F70" s="106">
        <f t="shared" si="7"/>
        <v>100.01630221666088</v>
      </c>
      <c r="G70" s="106">
        <f t="shared" si="5"/>
        <v>99.73637961335677</v>
      </c>
      <c r="H70" s="104">
        <f t="shared" si="8"/>
        <v>-0.03700000000000614</v>
      </c>
      <c r="I70" s="104">
        <f t="shared" si="6"/>
        <v>0.5999999999999943</v>
      </c>
      <c r="J70" s="166"/>
      <c r="K70" s="153"/>
    </row>
    <row r="71" spans="1:11" s="93" customFormat="1" ht="18.75" thickBot="1">
      <c r="A71" s="102" t="s">
        <v>9</v>
      </c>
      <c r="B71" s="126">
        <v>167.3</v>
      </c>
      <c r="C71" s="127">
        <f>293.1-30-14-37.9+0.1-20.9</f>
        <v>190.4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167.3</v>
      </c>
      <c r="I71" s="104">
        <f t="shared" si="6"/>
        <v>190.4</v>
      </c>
      <c r="J71" s="166"/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6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6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6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6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6"/>
      <c r="K76" s="153"/>
    </row>
    <row r="77" spans="1:11" s="32" customFormat="1" ht="19.5" thickBot="1">
      <c r="A77" s="23" t="s">
        <v>13</v>
      </c>
      <c r="B77" s="46">
        <v>1126.7</v>
      </c>
      <c r="C77" s="53">
        <f>17000-13500-1000</f>
        <v>2500</v>
      </c>
      <c r="D77" s="54"/>
      <c r="E77" s="34"/>
      <c r="F77" s="34"/>
      <c r="G77" s="34"/>
      <c r="H77" s="54">
        <f>B77-D77</f>
        <v>1126.7</v>
      </c>
      <c r="I77" s="54">
        <f t="shared" si="6"/>
        <v>2500</v>
      </c>
      <c r="J77" s="168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6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6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70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70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70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70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6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6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6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6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6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6"/>
      <c r="K89" s="153"/>
    </row>
    <row r="90" spans="1:11" ht="19.5" thickBot="1">
      <c r="A90" s="12" t="s">
        <v>10</v>
      </c>
      <c r="B90" s="45">
        <v>175244.2</v>
      </c>
      <c r="C90" s="39">
        <f>200580.6+2044.4+100+113.7+1216.5</f>
        <v>204055.2</v>
      </c>
      <c r="D90" s="40">
        <f>4266.2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+29.5+6.9+18.4+25.7+13.2+199.5+8134.6+317.2+122.6+113.6+16.9+75.3+3216+2093.2+8.3+15.6+22.2+11.5+23.9+148+20.7</f>
        <v>160906.09999999998</v>
      </c>
      <c r="E90" s="3">
        <f>D90/D154*100</f>
        <v>10.37539850917172</v>
      </c>
      <c r="F90" s="3">
        <f aca="true" t="shared" si="11" ref="F90:F96">D90/B90*100</f>
        <v>91.81821709363275</v>
      </c>
      <c r="G90" s="3">
        <f t="shared" si="9"/>
        <v>78.85420219626845</v>
      </c>
      <c r="H90" s="40">
        <f aca="true" t="shared" si="12" ref="H90:H96">B90-D90</f>
        <v>14338.100000000035</v>
      </c>
      <c r="I90" s="40">
        <f t="shared" si="10"/>
        <v>43149.100000000035</v>
      </c>
      <c r="J90" s="166"/>
      <c r="K90" s="153"/>
    </row>
    <row r="91" spans="1:11" s="93" customFormat="1" ht="21.75" customHeight="1">
      <c r="A91" s="102" t="s">
        <v>3</v>
      </c>
      <c r="B91" s="126">
        <f>163944.6+273.6</f>
        <v>164218.2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</f>
        <v>151990.91000000003</v>
      </c>
      <c r="E91" s="106">
        <f>D91/D90*100</f>
        <v>94.45938345407666</v>
      </c>
      <c r="F91" s="106">
        <f t="shared" si="11"/>
        <v>92.55424185626198</v>
      </c>
      <c r="G91" s="106">
        <f t="shared" si="9"/>
        <v>80.01488260535619</v>
      </c>
      <c r="H91" s="104">
        <f t="shared" si="12"/>
        <v>12227.289999999979</v>
      </c>
      <c r="I91" s="104">
        <f t="shared" si="10"/>
        <v>37962.389999999956</v>
      </c>
      <c r="K91" s="153"/>
    </row>
    <row r="92" spans="1:11" s="93" customFormat="1" ht="18">
      <c r="A92" s="102" t="s">
        <v>25</v>
      </c>
      <c r="B92" s="126">
        <f>2081.4-200</f>
        <v>1881.4</v>
      </c>
      <c r="C92" s="127">
        <v>2776.4</v>
      </c>
      <c r="D92" s="104">
        <f>57.2+3.4+167+1.4+0.3+83.4+86.9+53.1+5.3+4.7+17+71.3+284.2+22.2+4.8+1.6+54.8+7+38.2+1.9+190+51.9+21+0.9+36.9+5.5+20.1+0.9+46.6+43.3-17.3+22+2.1+65.9+0.7+4.5+1+37+52.4+38.3+64.1+5+1.1</f>
        <v>1659.6000000000001</v>
      </c>
      <c r="E92" s="106">
        <f>D92/D90*100</f>
        <v>1.0314090018961373</v>
      </c>
      <c r="F92" s="106">
        <f t="shared" si="11"/>
        <v>88.2109067715531</v>
      </c>
      <c r="G92" s="106">
        <f t="shared" si="9"/>
        <v>59.77524852326754</v>
      </c>
      <c r="H92" s="104">
        <f t="shared" si="12"/>
        <v>221.79999999999995</v>
      </c>
      <c r="I92" s="104">
        <f t="shared" si="10"/>
        <v>1116.8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9144.6</v>
      </c>
      <c r="C94" s="127">
        <f>C90-C91-C92-C93</f>
        <v>11325.500000000024</v>
      </c>
      <c r="D94" s="127">
        <f>D90-D91-D92-D93</f>
        <v>7255.589999999944</v>
      </c>
      <c r="E94" s="106">
        <f>D94/D90*100</f>
        <v>4.509207544027197</v>
      </c>
      <c r="F94" s="106">
        <f t="shared" si="11"/>
        <v>79.34289088642416</v>
      </c>
      <c r="G94" s="106">
        <f>D94/C94*100</f>
        <v>64.06419142642646</v>
      </c>
      <c r="H94" s="104">
        <f t="shared" si="12"/>
        <v>1889.0100000000566</v>
      </c>
      <c r="I94" s="104">
        <f>C94-D94</f>
        <v>4069.91000000008</v>
      </c>
      <c r="K94" s="153"/>
    </row>
    <row r="95" spans="1:11" ht="18.75">
      <c r="A95" s="82" t="s">
        <v>12</v>
      </c>
      <c r="B95" s="91">
        <f>38068.1-332.8-568.7</f>
        <v>37166.6</v>
      </c>
      <c r="C95" s="85">
        <f>46414.5+100+39.4+1153.5-64.6-244.3+39946.8</f>
        <v>87345.3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</f>
        <v>32407.199999999997</v>
      </c>
      <c r="E95" s="81">
        <f>D95/D154*100</f>
        <v>2.08965113545372</v>
      </c>
      <c r="F95" s="83">
        <f t="shared" si="11"/>
        <v>87.19441649222689</v>
      </c>
      <c r="G95" s="80">
        <f>D95/C95*100</f>
        <v>37.102397037963115</v>
      </c>
      <c r="H95" s="84">
        <f t="shared" si="12"/>
        <v>4759.4000000000015</v>
      </c>
      <c r="I95" s="87">
        <f>C95-D95</f>
        <v>54938.100000000006</v>
      </c>
      <c r="J95" s="166"/>
      <c r="K95" s="153"/>
    </row>
    <row r="96" spans="1:11" s="93" customFormat="1" ht="18.75" thickBot="1">
      <c r="A96" s="129" t="s">
        <v>83</v>
      </c>
      <c r="B96" s="130">
        <v>10039.1</v>
      </c>
      <c r="C96" s="131">
        <v>12814.2</v>
      </c>
      <c r="D96" s="132">
        <f>194.6+1234+3.4+0.5+79.6+1026.4+0.7+86.4+939.3+4.2+87.7+624.7+8+489.4+90.3+1.9+597.9+5.5+67.2+2.1+31.9+0.2+90.5+32.4+530.2+66+90.3+454.6+5.4+212.8+729.6+32.4+38.7+3.5+1+0.1+88.2+719.7+5.7+3.5</f>
        <v>8680.499999999998</v>
      </c>
      <c r="E96" s="133">
        <f>D96/D95*100</f>
        <v>26.785714285714285</v>
      </c>
      <c r="F96" s="134">
        <f t="shared" si="11"/>
        <v>86.46691436483349</v>
      </c>
      <c r="G96" s="135">
        <f>D96/C96*100</f>
        <v>67.74125579435312</v>
      </c>
      <c r="H96" s="136">
        <f t="shared" si="12"/>
        <v>1358.6000000000022</v>
      </c>
      <c r="I96" s="125">
        <f>C96-D96</f>
        <v>4133.700000000003</v>
      </c>
      <c r="J96" s="166"/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6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6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6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7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6"/>
      <c r="K101" s="153">
        <f t="shared" si="13"/>
        <v>0</v>
      </c>
    </row>
    <row r="102" spans="1:11" s="32" customFormat="1" ht="19.5" thickBot="1">
      <c r="A102" s="12" t="s">
        <v>11</v>
      </c>
      <c r="B102" s="90">
        <v>11280.8</v>
      </c>
      <c r="C102" s="70">
        <f>11266.5-91.2+1707.2+14.9+0.2+1010.6</f>
        <v>13908.2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</f>
        <v>9562.2</v>
      </c>
      <c r="E102" s="17">
        <f>D102/D154*100</f>
        <v>0.6165809476732198</v>
      </c>
      <c r="F102" s="17">
        <f>D102/B102*100</f>
        <v>84.76526487483159</v>
      </c>
      <c r="G102" s="17">
        <f aca="true" t="shared" si="14" ref="G102:G152">D102/C102*100</f>
        <v>68.75224687594368</v>
      </c>
      <c r="H102" s="65">
        <f aca="true" t="shared" si="15" ref="H102:H108">B102-D102</f>
        <v>1718.5999999999985</v>
      </c>
      <c r="I102" s="65">
        <f aca="true" t="shared" si="16" ref="I102:I152">C102-D102</f>
        <v>4346</v>
      </c>
      <c r="J102" s="168"/>
      <c r="K102" s="153"/>
    </row>
    <row r="103" spans="1:11" s="93" customFormat="1" ht="18.75" customHeight="1">
      <c r="A103" s="102" t="s">
        <v>3</v>
      </c>
      <c r="B103" s="118">
        <v>291</v>
      </c>
      <c r="C103" s="119">
        <v>363.8</v>
      </c>
      <c r="D103" s="119">
        <f>31.2+4.8+33.9+5.2+30.9+10.3+19.9+19.5+19.7+20.2+35.3</f>
        <v>230.89999999999998</v>
      </c>
      <c r="E103" s="120">
        <f>D103/D102*100</f>
        <v>2.414716278680638</v>
      </c>
      <c r="F103" s="106">
        <f>D103/B103*100</f>
        <v>79.34707903780068</v>
      </c>
      <c r="G103" s="120">
        <f>D103/C103*100</f>
        <v>63.468938977460134</v>
      </c>
      <c r="H103" s="119">
        <f t="shared" si="15"/>
        <v>60.10000000000002</v>
      </c>
      <c r="I103" s="119">
        <f t="shared" si="16"/>
        <v>132.90000000000003</v>
      </c>
      <c r="J103" s="166"/>
      <c r="K103" s="153"/>
    </row>
    <row r="104" spans="1:11" s="93" customFormat="1" ht="18">
      <c r="A104" s="121" t="s">
        <v>48</v>
      </c>
      <c r="B104" s="103">
        <v>9329.8</v>
      </c>
      <c r="C104" s="104">
        <f>8949.2-91.2+1682.1+14.9+68.9</f>
        <v>10623.9</v>
      </c>
      <c r="D104" s="10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</f>
        <v>8264.5</v>
      </c>
      <c r="E104" s="106">
        <f>D104/D102*100</f>
        <v>86.42885528434878</v>
      </c>
      <c r="F104" s="106">
        <f aca="true" t="shared" si="17" ref="F104:F152">D104/B104*100</f>
        <v>88.58174880490472</v>
      </c>
      <c r="G104" s="106">
        <f t="shared" si="14"/>
        <v>77.79158312860626</v>
      </c>
      <c r="H104" s="104">
        <f t="shared" si="15"/>
        <v>1065.2999999999993</v>
      </c>
      <c r="I104" s="104">
        <f t="shared" si="16"/>
        <v>2359.3999999999996</v>
      </c>
      <c r="J104" s="166"/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J105" s="166"/>
      <c r="K105" s="153"/>
    </row>
    <row r="106" spans="1:11" s="93" customFormat="1" ht="18.75" thickBot="1">
      <c r="A106" s="122" t="s">
        <v>27</v>
      </c>
      <c r="B106" s="123">
        <f>B102-B103-B104</f>
        <v>1660</v>
      </c>
      <c r="C106" s="123">
        <f>C102-C103-C104</f>
        <v>2920.500000000002</v>
      </c>
      <c r="D106" s="123">
        <f>D102-D103-D104</f>
        <v>1066.800000000001</v>
      </c>
      <c r="E106" s="124">
        <f>D106/D102*100</f>
        <v>11.156428436970582</v>
      </c>
      <c r="F106" s="124">
        <f t="shared" si="17"/>
        <v>64.26506024096392</v>
      </c>
      <c r="G106" s="124">
        <f t="shared" si="14"/>
        <v>36.52799178222909</v>
      </c>
      <c r="H106" s="125">
        <f t="shared" si="15"/>
        <v>593.1999999999989</v>
      </c>
      <c r="I106" s="125">
        <f t="shared" si="16"/>
        <v>1853.7000000000007</v>
      </c>
      <c r="J106" s="166"/>
      <c r="K106" s="153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451819.89206000004</v>
      </c>
      <c r="C107" s="67">
        <f>SUM(C108:C151)-C115-C120+C152-C142-C143-C109-C112-C123-C124-C140-C133-C131-C138-C118</f>
        <v>577632.5999999999</v>
      </c>
      <c r="D107" s="67">
        <f>SUM(D108:D151)-D115-D120+D152-D142-D143-D109-D112-D123-D124-D140-D133-D131-D138-D118</f>
        <v>376195.7</v>
      </c>
      <c r="E107" s="68">
        <f>D107/D154*100</f>
        <v>24.257503630607</v>
      </c>
      <c r="F107" s="68">
        <f>D107/B107*100</f>
        <v>83.26231461054012</v>
      </c>
      <c r="G107" s="68">
        <f t="shared" si="14"/>
        <v>65.12715868183342</v>
      </c>
      <c r="H107" s="67">
        <f t="shared" si="15"/>
        <v>75624.19206000003</v>
      </c>
      <c r="I107" s="67">
        <f t="shared" si="16"/>
        <v>201436.89999999985</v>
      </c>
      <c r="J107" s="164"/>
      <c r="K107" s="153"/>
      <c r="L107" s="96"/>
    </row>
    <row r="108" spans="1:12" s="93" customFormat="1" ht="37.5">
      <c r="A108" s="97" t="s">
        <v>52</v>
      </c>
      <c r="B108" s="160">
        <v>3293.6</v>
      </c>
      <c r="C108" s="157">
        <v>4459</v>
      </c>
      <c r="D108" s="9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</f>
        <v>2101.5999999999995</v>
      </c>
      <c r="E108" s="99">
        <f>D108/D107*100</f>
        <v>0.5586454071644092</v>
      </c>
      <c r="F108" s="99">
        <f t="shared" si="17"/>
        <v>63.80859849404905</v>
      </c>
      <c r="G108" s="99">
        <f t="shared" si="14"/>
        <v>47.13164386633773</v>
      </c>
      <c r="H108" s="100">
        <f t="shared" si="15"/>
        <v>1192.0000000000005</v>
      </c>
      <c r="I108" s="100">
        <f t="shared" si="16"/>
        <v>2357.4000000000005</v>
      </c>
      <c r="K108" s="153"/>
      <c r="L108" s="101"/>
    </row>
    <row r="109" spans="1:12" s="93" customFormat="1" ht="18.75">
      <c r="A109" s="102" t="s">
        <v>25</v>
      </c>
      <c r="B109" s="103">
        <v>1460.7</v>
      </c>
      <c r="C109" s="104">
        <v>1995</v>
      </c>
      <c r="D109" s="105">
        <f>47.8+0.9+59.7+88.3+0.1+59.2+38.8+107.4+24+91.1+38+42.5+2+31.4+47.6+36.5-21.6+46.3+2.4+36.1</f>
        <v>778.5</v>
      </c>
      <c r="E109" s="106">
        <f>D109/D108*100</f>
        <v>37.043205177008005</v>
      </c>
      <c r="F109" s="106">
        <f t="shared" si="17"/>
        <v>53.29636475662354</v>
      </c>
      <c r="G109" s="106">
        <f t="shared" si="14"/>
        <v>39.02255639097744</v>
      </c>
      <c r="H109" s="104">
        <f aca="true" t="shared" si="18" ref="H109:H152">B109-D109</f>
        <v>682.2</v>
      </c>
      <c r="I109" s="104">
        <f t="shared" si="16"/>
        <v>1216.5</v>
      </c>
      <c r="K109" s="153"/>
      <c r="L109" s="101"/>
    </row>
    <row r="110" spans="1:12" s="93" customFormat="1" ht="34.5" customHeight="1" hidden="1">
      <c r="A110" s="107" t="s">
        <v>78</v>
      </c>
      <c r="B110" s="159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1">
        <v>170.3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170.3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58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1">
        <v>64.296</v>
      </c>
      <c r="C113" s="100">
        <v>64.3</v>
      </c>
      <c r="D113" s="98">
        <f>6.8+7+3.6</f>
        <v>17.400000000000002</v>
      </c>
      <c r="E113" s="99">
        <f>D113/D107*100</f>
        <v>0.0046252522290924645</v>
      </c>
      <c r="F113" s="99">
        <f t="shared" si="17"/>
        <v>27.062336692795817</v>
      </c>
      <c r="G113" s="99">
        <f t="shared" si="14"/>
        <v>27.06065318818041</v>
      </c>
      <c r="H113" s="100">
        <f t="shared" si="18"/>
        <v>46.896</v>
      </c>
      <c r="I113" s="100">
        <f t="shared" si="16"/>
        <v>46.89999999999999</v>
      </c>
      <c r="K113" s="153"/>
      <c r="L113" s="101"/>
    </row>
    <row r="114" spans="1:12" s="93" customFormat="1" ht="37.5">
      <c r="A114" s="107" t="s">
        <v>38</v>
      </c>
      <c r="B114" s="161">
        <v>2758.7</v>
      </c>
      <c r="C114" s="100">
        <v>3311.5</v>
      </c>
      <c r="D114" s="98">
        <f>136.4+10+40+6.6+6.1+0.2+177.4+10+1.8+25.1+29.4+48.1+8.1+193.1+10+0.1+17.8+8.8+132.4+79.7+12.6+4.3+3.5+212.4+8.1+0.4+10.8+218.3+5.3+16.4+166.6+54.3+12.8+52.1+1.1+0.2+214.8+15.7+3.7+4.8+133.9+54.7+10.7+6.3+7.4+1.2</f>
        <v>2173.4999999999995</v>
      </c>
      <c r="E114" s="99">
        <f>D114/D107*100</f>
        <v>0.577757799996119</v>
      </c>
      <c r="F114" s="99">
        <f t="shared" si="17"/>
        <v>78.78710987059121</v>
      </c>
      <c r="G114" s="99">
        <f t="shared" si="14"/>
        <v>65.63490865166841</v>
      </c>
      <c r="H114" s="100">
        <f t="shared" si="18"/>
        <v>585.2000000000003</v>
      </c>
      <c r="I114" s="100">
        <f t="shared" si="16"/>
        <v>1138.0000000000005</v>
      </c>
      <c r="K114" s="183"/>
      <c r="L114" s="184"/>
    </row>
    <row r="115" spans="1:12" s="93" customFormat="1" ht="18.75" hidden="1">
      <c r="A115" s="111" t="s">
        <v>43</v>
      </c>
      <c r="B115" s="158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83"/>
      <c r="L115" s="184"/>
    </row>
    <row r="116" spans="1:12" s="94" customFormat="1" ht="18.75" customHeight="1" hidden="1">
      <c r="A116" s="107" t="s">
        <v>90</v>
      </c>
      <c r="B116" s="159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83"/>
      <c r="L116" s="184"/>
    </row>
    <row r="117" spans="1:12" s="93" customFormat="1" ht="37.5">
      <c r="A117" s="107" t="s">
        <v>47</v>
      </c>
      <c r="B117" s="161">
        <f>200-130</f>
        <v>70</v>
      </c>
      <c r="C117" s="100">
        <f>200-130</f>
        <v>70</v>
      </c>
      <c r="D117" s="98">
        <f>15+40+1.2+1.8+2.6</f>
        <v>60.6</v>
      </c>
      <c r="E117" s="99">
        <f>D117/D107*100</f>
        <v>0.016108637073735825</v>
      </c>
      <c r="F117" s="99">
        <f>D117/B117*100</f>
        <v>86.57142857142858</v>
      </c>
      <c r="G117" s="99">
        <f t="shared" si="14"/>
        <v>86.57142857142858</v>
      </c>
      <c r="H117" s="100">
        <f t="shared" si="18"/>
        <v>9.399999999999999</v>
      </c>
      <c r="I117" s="100">
        <f t="shared" si="16"/>
        <v>9.399999999999999</v>
      </c>
      <c r="K117" s="183"/>
      <c r="L117" s="184"/>
    </row>
    <row r="118" spans="1:12" s="93" customFormat="1" ht="18.75">
      <c r="A118" s="111" t="s">
        <v>88</v>
      </c>
      <c r="B118" s="171">
        <v>40</v>
      </c>
      <c r="C118" s="172">
        <v>40</v>
      </c>
      <c r="D118" s="105">
        <v>40</v>
      </c>
      <c r="E118" s="106">
        <f>D118/D117*100</f>
        <v>66.006600660066</v>
      </c>
      <c r="F118" s="106">
        <f>D118/B118*100</f>
        <v>100</v>
      </c>
      <c r="G118" s="106">
        <f>D118/C118*100</f>
        <v>100</v>
      </c>
      <c r="H118" s="104">
        <f>B118-D118</f>
        <v>0</v>
      </c>
      <c r="I118" s="104">
        <f>C118-D118</f>
        <v>0</v>
      </c>
      <c r="K118" s="183"/>
      <c r="L118" s="184"/>
    </row>
    <row r="119" spans="1:12" s="113" customFormat="1" ht="18.75">
      <c r="A119" s="107" t="s">
        <v>15</v>
      </c>
      <c r="B119" s="161">
        <v>388.3</v>
      </c>
      <c r="C119" s="108">
        <v>491.6</v>
      </c>
      <c r="D119" s="98">
        <f>45.4+9.9+47+6.4+0.4+0.4+45.4+0.4+2.9+45.4+4+6.8+0.4+45.4+0.1+5.8+0.8+0.4+0.8+0.7+13+0.4+5+0.3+0.8+45.4+5+1.1</f>
        <v>339.80000000000007</v>
      </c>
      <c r="E119" s="99">
        <f>D119/D107*100</f>
        <v>0.09032532801411607</v>
      </c>
      <c r="F119" s="99">
        <f t="shared" si="17"/>
        <v>87.50965748132889</v>
      </c>
      <c r="G119" s="99">
        <f t="shared" si="14"/>
        <v>69.1212367778682</v>
      </c>
      <c r="H119" s="100">
        <f t="shared" si="18"/>
        <v>48.49999999999994</v>
      </c>
      <c r="I119" s="100">
        <f t="shared" si="16"/>
        <v>151.79999999999995</v>
      </c>
      <c r="K119" s="183"/>
      <c r="L119" s="184"/>
    </row>
    <row r="120" spans="1:12" s="114" customFormat="1" ht="18.75">
      <c r="A120" s="111" t="s">
        <v>43</v>
      </c>
      <c r="B120" s="103">
        <v>317.9</v>
      </c>
      <c r="C120" s="104">
        <v>408.8</v>
      </c>
      <c r="D120" s="105">
        <f>45.4+45.4+45.4+45.4+45.4+0.1+45.4</f>
        <v>272.5</v>
      </c>
      <c r="E120" s="106">
        <f>D120/D119*100</f>
        <v>80.19423190111829</v>
      </c>
      <c r="F120" s="106">
        <f t="shared" si="17"/>
        <v>85.7187794904058</v>
      </c>
      <c r="G120" s="106">
        <f t="shared" si="14"/>
        <v>66.65851272015655</v>
      </c>
      <c r="H120" s="104">
        <f t="shared" si="18"/>
        <v>45.39999999999998</v>
      </c>
      <c r="I120" s="104">
        <f t="shared" si="16"/>
        <v>136.3</v>
      </c>
      <c r="K120" s="183"/>
      <c r="L120" s="184"/>
    </row>
    <row r="121" spans="1:12" s="113" customFormat="1" ht="18.75">
      <c r="A121" s="107" t="s">
        <v>105</v>
      </c>
      <c r="B121" s="161">
        <v>275</v>
      </c>
      <c r="C121" s="108">
        <v>317</v>
      </c>
      <c r="D121" s="98">
        <v>3.6</v>
      </c>
      <c r="E121" s="99">
        <f>D121/D107*100</f>
        <v>0.0009569487370536133</v>
      </c>
      <c r="F121" s="99">
        <f t="shared" si="17"/>
        <v>1.309090909090909</v>
      </c>
      <c r="G121" s="99">
        <f t="shared" si="14"/>
        <v>1.135646687697161</v>
      </c>
      <c r="H121" s="100">
        <f t="shared" si="18"/>
        <v>271.4</v>
      </c>
      <c r="I121" s="100">
        <f t="shared" si="16"/>
        <v>313.4</v>
      </c>
      <c r="K121" s="183"/>
      <c r="L121" s="184"/>
    </row>
    <row r="122" spans="1:12" s="113" customFormat="1" ht="21.75" customHeight="1">
      <c r="A122" s="107" t="s">
        <v>94</v>
      </c>
      <c r="B122" s="161">
        <f>559.999-88.1</f>
        <v>471.899</v>
      </c>
      <c r="C122" s="108">
        <f>480+80</f>
        <v>560</v>
      </c>
      <c r="D122" s="109">
        <f>12+360.2+19.8+20.5+40.3+18.3+0.8</f>
        <v>471.90000000000003</v>
      </c>
      <c r="E122" s="112">
        <f>D122/D107*100</f>
        <v>0.12544003028211115</v>
      </c>
      <c r="F122" s="99">
        <f t="shared" si="17"/>
        <v>100.00021190975188</v>
      </c>
      <c r="G122" s="99">
        <f t="shared" si="14"/>
        <v>84.26785714285715</v>
      </c>
      <c r="H122" s="100">
        <f t="shared" si="18"/>
        <v>-0.0010000000000331966</v>
      </c>
      <c r="I122" s="100">
        <f t="shared" si="16"/>
        <v>88.09999999999997</v>
      </c>
      <c r="J122" s="164"/>
      <c r="K122" s="183"/>
      <c r="L122" s="184"/>
    </row>
    <row r="123" spans="1:12" s="116" customFormat="1" ht="18.75" hidden="1">
      <c r="A123" s="102" t="s">
        <v>80</v>
      </c>
      <c r="B123" s="158"/>
      <c r="C123" s="104"/>
      <c r="D123" s="105"/>
      <c r="E123" s="99"/>
      <c r="F123" s="115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83"/>
      <c r="L123" s="184"/>
    </row>
    <row r="124" spans="1:12" s="116" customFormat="1" ht="18.75" hidden="1">
      <c r="A124" s="102" t="s">
        <v>49</v>
      </c>
      <c r="B124" s="158"/>
      <c r="C124" s="104"/>
      <c r="D124" s="105"/>
      <c r="E124" s="99"/>
      <c r="F124" s="106" t="e">
        <f>D124/B124*100</f>
        <v>#DIV/0!</v>
      </c>
      <c r="G124" s="106" t="e">
        <f t="shared" si="14"/>
        <v>#DIV/0!</v>
      </c>
      <c r="H124" s="104">
        <f t="shared" si="18"/>
        <v>0</v>
      </c>
      <c r="I124" s="104">
        <f t="shared" si="16"/>
        <v>0</v>
      </c>
      <c r="K124" s="183"/>
      <c r="L124" s="184"/>
    </row>
    <row r="125" spans="1:12" s="113" customFormat="1" ht="37.5">
      <c r="A125" s="107" t="s">
        <v>95</v>
      </c>
      <c r="B125" s="161">
        <f>40504.1+3053.2+1425.5+1000</f>
        <v>45982.799999999996</v>
      </c>
      <c r="C125" s="108">
        <f>45511.3+17000</f>
        <v>62511.3</v>
      </c>
      <c r="D125" s="109">
        <f>3529.6+2264.3+1265.3+2996.5+533.1+738.7+2380.2+1722.3+1049.4+1874.1+1476.2+1455.5+94.4+1416+1268.6+1913.6+457.2+1108.2+2510.4+39.4+1337.2+1221+3120.4+2083.6+2630.6+1941.5</f>
        <v>42427.3</v>
      </c>
      <c r="E125" s="112">
        <f>D125/D107*100</f>
        <v>11.277986430998547</v>
      </c>
      <c r="F125" s="99">
        <f t="shared" si="17"/>
        <v>92.26776098889151</v>
      </c>
      <c r="G125" s="99">
        <f t="shared" si="14"/>
        <v>67.87140884928006</v>
      </c>
      <c r="H125" s="100">
        <f t="shared" si="18"/>
        <v>3555.4999999999927</v>
      </c>
      <c r="I125" s="100">
        <f t="shared" si="16"/>
        <v>20084</v>
      </c>
      <c r="K125" s="183"/>
      <c r="L125" s="184"/>
    </row>
    <row r="126" spans="1:12" s="113" customFormat="1" ht="18.75">
      <c r="A126" s="107" t="s">
        <v>91</v>
      </c>
      <c r="B126" s="161">
        <v>685</v>
      </c>
      <c r="C126" s="108">
        <v>700</v>
      </c>
      <c r="D126" s="109">
        <f>9.6+1.5</f>
        <v>11.1</v>
      </c>
      <c r="E126" s="112">
        <f>D126/D107*100</f>
        <v>0.002950591939248641</v>
      </c>
      <c r="F126" s="99">
        <f t="shared" si="17"/>
        <v>1.6204379562043796</v>
      </c>
      <c r="G126" s="99">
        <f t="shared" si="14"/>
        <v>1.5857142857142859</v>
      </c>
      <c r="H126" s="100">
        <f t="shared" si="18"/>
        <v>673.9</v>
      </c>
      <c r="I126" s="100">
        <f t="shared" si="16"/>
        <v>688.9</v>
      </c>
      <c r="K126" s="183"/>
      <c r="L126" s="184"/>
    </row>
    <row r="127" spans="1:12" s="113" customFormat="1" ht="37.5">
      <c r="A127" s="107" t="s">
        <v>100</v>
      </c>
      <c r="B127" s="161">
        <v>200</v>
      </c>
      <c r="C127" s="108">
        <f>200+250</f>
        <v>450</v>
      </c>
      <c r="D127" s="109">
        <f>63.1+15.9+49.6</f>
        <v>128.6</v>
      </c>
      <c r="E127" s="112">
        <f>D127/D107*100</f>
        <v>0.034184335440304074</v>
      </c>
      <c r="F127" s="99">
        <f t="shared" si="17"/>
        <v>64.3</v>
      </c>
      <c r="G127" s="99">
        <f t="shared" si="14"/>
        <v>28.577777777777776</v>
      </c>
      <c r="H127" s="100">
        <f t="shared" si="18"/>
        <v>71.4</v>
      </c>
      <c r="I127" s="100">
        <f t="shared" si="16"/>
        <v>321.4</v>
      </c>
      <c r="K127" s="183"/>
      <c r="L127" s="184"/>
    </row>
    <row r="128" spans="1:12" s="113" customFormat="1" ht="37.5">
      <c r="A128" s="107" t="s">
        <v>85</v>
      </c>
      <c r="B128" s="161">
        <v>111.1</v>
      </c>
      <c r="C128" s="108">
        <f>111.1</f>
        <v>111.1</v>
      </c>
      <c r="D128" s="109">
        <v>34.5</v>
      </c>
      <c r="E128" s="112">
        <f>D128/D107*100</f>
        <v>0.009170758730097128</v>
      </c>
      <c r="F128" s="99">
        <f t="shared" si="17"/>
        <v>31.053105310531055</v>
      </c>
      <c r="G128" s="99">
        <f t="shared" si="14"/>
        <v>31.053105310531055</v>
      </c>
      <c r="H128" s="100">
        <f t="shared" si="18"/>
        <v>76.6</v>
      </c>
      <c r="I128" s="100">
        <f t="shared" si="16"/>
        <v>76.6</v>
      </c>
      <c r="K128" s="183"/>
      <c r="L128" s="184"/>
    </row>
    <row r="129" spans="1:12" s="113" customFormat="1" ht="18.75" hidden="1">
      <c r="A129" s="111" t="s">
        <v>83</v>
      </c>
      <c r="B129" s="159"/>
      <c r="C129" s="108"/>
      <c r="D129" s="109"/>
      <c r="E129" s="112">
        <f>D129/D108*100</f>
        <v>0</v>
      </c>
      <c r="F129" s="99" t="e">
        <f t="shared" si="17"/>
        <v>#DIV/0!</v>
      </c>
      <c r="G129" s="99" t="e">
        <f t="shared" si="14"/>
        <v>#DIV/0!</v>
      </c>
      <c r="H129" s="100">
        <f t="shared" si="18"/>
        <v>0</v>
      </c>
      <c r="I129" s="100">
        <f t="shared" si="16"/>
        <v>0</v>
      </c>
      <c r="K129" s="183"/>
      <c r="L129" s="184"/>
    </row>
    <row r="130" spans="1:12" s="113" customFormat="1" ht="37.5">
      <c r="A130" s="107" t="s">
        <v>57</v>
      </c>
      <c r="B130" s="161">
        <v>879.4</v>
      </c>
      <c r="C130" s="108">
        <v>942</v>
      </c>
      <c r="D130" s="109">
        <f>7+4.2+0.1+12.3+0.2+7.1+17.8+14.9+1.7+0.1+7.4+7+2.7+3.7+7.1+5.3+31.3+16.4+2.5+1.7+26.7+0.1+13.8+0.1+2.9+6.5+0.6+7+4.8+0.1+17.3+0.5+7.6+29.1+0.2+0.1+7.4+1+0.1+0.2+0.1+0.4+7.4+2.8+0.8+6.9+26.7+15.1+8.8+14.7+0.1+0.2+9.7</f>
        <v>370.3</v>
      </c>
      <c r="E130" s="112">
        <f>D130/D107*100</f>
        <v>0.09843281036970918</v>
      </c>
      <c r="F130" s="99">
        <f t="shared" si="17"/>
        <v>42.108255628837846</v>
      </c>
      <c r="G130" s="99">
        <f t="shared" si="14"/>
        <v>39.309978768577494</v>
      </c>
      <c r="H130" s="100">
        <f t="shared" si="18"/>
        <v>509.09999999999997</v>
      </c>
      <c r="I130" s="100">
        <f t="shared" si="16"/>
        <v>571.7</v>
      </c>
      <c r="K130" s="183"/>
      <c r="L130" s="184"/>
    </row>
    <row r="131" spans="1:12" s="114" customFormat="1" ht="18.75">
      <c r="A131" s="102" t="s">
        <v>88</v>
      </c>
      <c r="B131" s="103">
        <v>485.8</v>
      </c>
      <c r="C131" s="104">
        <v>510.8</v>
      </c>
      <c r="D131" s="105">
        <f>7+7.1+7+7.1+7+7+7.4+7.4+7.4</f>
        <v>64.4</v>
      </c>
      <c r="E131" s="106">
        <f>D131/D130*100</f>
        <v>17.39130434782609</v>
      </c>
      <c r="F131" s="106">
        <f>D131/B131*100</f>
        <v>13.25648414985591</v>
      </c>
      <c r="G131" s="106">
        <f t="shared" si="14"/>
        <v>12.607674236491778</v>
      </c>
      <c r="H131" s="104">
        <f t="shared" si="18"/>
        <v>421.4</v>
      </c>
      <c r="I131" s="104">
        <f t="shared" si="16"/>
        <v>446.4</v>
      </c>
      <c r="K131" s="183"/>
      <c r="L131" s="184"/>
    </row>
    <row r="132" spans="1:12" s="113" customFormat="1" ht="37.5">
      <c r="A132" s="107" t="s">
        <v>103</v>
      </c>
      <c r="B132" s="161">
        <v>395</v>
      </c>
      <c r="C132" s="108">
        <v>485</v>
      </c>
      <c r="D132" s="109"/>
      <c r="E132" s="112">
        <f>D132/D107*100</f>
        <v>0</v>
      </c>
      <c r="F132" s="110">
        <f t="shared" si="17"/>
        <v>0</v>
      </c>
      <c r="G132" s="99">
        <f t="shared" si="14"/>
        <v>0</v>
      </c>
      <c r="H132" s="100">
        <f t="shared" si="18"/>
        <v>395</v>
      </c>
      <c r="I132" s="100">
        <f t="shared" si="16"/>
        <v>485</v>
      </c>
      <c r="K132" s="183"/>
      <c r="L132" s="184"/>
    </row>
    <row r="133" spans="1:12" s="114" customFormat="1" ht="18.75" hidden="1">
      <c r="A133" s="111" t="s">
        <v>43</v>
      </c>
      <c r="B133" s="158"/>
      <c r="C133" s="104"/>
      <c r="D133" s="105"/>
      <c r="E133" s="106"/>
      <c r="F133" s="106" t="e">
        <f>D133/B133*100</f>
        <v>#DIV/0!</v>
      </c>
      <c r="G133" s="106" t="e">
        <f t="shared" si="14"/>
        <v>#DIV/0!</v>
      </c>
      <c r="H133" s="104">
        <f t="shared" si="18"/>
        <v>0</v>
      </c>
      <c r="I133" s="104">
        <f t="shared" si="16"/>
        <v>0</v>
      </c>
      <c r="K133" s="183"/>
      <c r="L133" s="184"/>
    </row>
    <row r="134" spans="1:12" s="113" customFormat="1" ht="35.25" customHeight="1" hidden="1">
      <c r="A134" s="107" t="s">
        <v>102</v>
      </c>
      <c r="B134" s="159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>C134-D134</f>
        <v>0</v>
      </c>
      <c r="K134" s="183"/>
      <c r="L134" s="184"/>
    </row>
    <row r="135" spans="1:12" s="113" customFormat="1" ht="21.75" customHeight="1" hidden="1">
      <c r="A135" s="107" t="s">
        <v>101</v>
      </c>
      <c r="B135" s="159"/>
      <c r="C135" s="108"/>
      <c r="D135" s="109"/>
      <c r="E135" s="112">
        <f>D135/D107*100</f>
        <v>0</v>
      </c>
      <c r="F135" s="99" t="e">
        <f t="shared" si="17"/>
        <v>#DIV/0!</v>
      </c>
      <c r="G135" s="99" t="e">
        <f t="shared" si="14"/>
        <v>#DIV/0!</v>
      </c>
      <c r="H135" s="100">
        <f t="shared" si="18"/>
        <v>0</v>
      </c>
      <c r="I135" s="100">
        <f t="shared" si="16"/>
        <v>0</v>
      </c>
      <c r="K135" s="183"/>
      <c r="L135" s="184"/>
    </row>
    <row r="136" spans="1:12" s="113" customFormat="1" ht="35.25" customHeight="1">
      <c r="A136" s="107" t="s">
        <v>87</v>
      </c>
      <c r="B136" s="161">
        <v>315</v>
      </c>
      <c r="C136" s="108">
        <f>383.2+1100</f>
        <v>1483.2</v>
      </c>
      <c r="D136" s="109">
        <f>2.9+1.5+9.7+8.2+0.2-0.4+16+13.6+102.3+20.9+65</f>
        <v>239.9</v>
      </c>
      <c r="E136" s="112">
        <f>D136/D107*100</f>
        <v>0.0637700005608783</v>
      </c>
      <c r="F136" s="99">
        <f t="shared" si="17"/>
        <v>76.15873015873017</v>
      </c>
      <c r="G136" s="99">
        <f t="shared" si="14"/>
        <v>16.174487594390506</v>
      </c>
      <c r="H136" s="100">
        <f t="shared" si="18"/>
        <v>75.1</v>
      </c>
      <c r="I136" s="100">
        <f t="shared" si="16"/>
        <v>1243.3</v>
      </c>
      <c r="K136" s="183"/>
      <c r="L136" s="184"/>
    </row>
    <row r="137" spans="1:12" s="113" customFormat="1" ht="39" customHeight="1">
      <c r="A137" s="107" t="s">
        <v>54</v>
      </c>
      <c r="B137" s="161">
        <v>280</v>
      </c>
      <c r="C137" s="108">
        <v>350</v>
      </c>
      <c r="D137" s="109">
        <f>3.7+1.9+30+0.6+12.1+11.2+3.6+6+7.1</f>
        <v>76.19999999999999</v>
      </c>
      <c r="E137" s="112">
        <f>D137/D107*100</f>
        <v>0.02025541493430148</v>
      </c>
      <c r="F137" s="99">
        <f t="shared" si="17"/>
        <v>27.214285714285708</v>
      </c>
      <c r="G137" s="99">
        <f t="shared" si="14"/>
        <v>21.77142857142857</v>
      </c>
      <c r="H137" s="100">
        <f t="shared" si="18"/>
        <v>203.8</v>
      </c>
      <c r="I137" s="100">
        <f t="shared" si="16"/>
        <v>273.8</v>
      </c>
      <c r="K137" s="183"/>
      <c r="L137" s="184"/>
    </row>
    <row r="138" spans="1:12" s="114" customFormat="1" ht="18.75">
      <c r="A138" s="102" t="s">
        <v>88</v>
      </c>
      <c r="B138" s="103">
        <v>86</v>
      </c>
      <c r="C138" s="104">
        <v>110</v>
      </c>
      <c r="D138" s="105">
        <f>3.7+1.9+12.1+11.1+3.6+6+7.1</f>
        <v>45.5</v>
      </c>
      <c r="E138" s="106"/>
      <c r="F138" s="99">
        <f>D138/B138*100</f>
        <v>52.90697674418605</v>
      </c>
      <c r="G138" s="106">
        <f>D138/C138*100</f>
        <v>41.36363636363637</v>
      </c>
      <c r="H138" s="104">
        <f>B138-D138</f>
        <v>40.5</v>
      </c>
      <c r="I138" s="104">
        <f>C138-D138</f>
        <v>64.5</v>
      </c>
      <c r="K138" s="183"/>
      <c r="L138" s="184"/>
    </row>
    <row r="139" spans="1:12" s="113" customFormat="1" ht="32.25" customHeight="1">
      <c r="A139" s="107" t="s">
        <v>84</v>
      </c>
      <c r="B139" s="161">
        <v>501.5</v>
      </c>
      <c r="C139" s="108">
        <v>607.7</v>
      </c>
      <c r="D139" s="109">
        <f>76+0.3+41+44+1.8+16.3+2.4+30+0.6+0.2+27.4+0.2+4.5-0.2+31.4+4.5+7.9+26.6+4.5+0.5+26.6+0.3+4.3+1.1+0.3+24+0.5+4.2+38.1+0.8</f>
        <v>420.10000000000014</v>
      </c>
      <c r="E139" s="112">
        <f>D139/D107*100</f>
        <v>0.11167060123228419</v>
      </c>
      <c r="F139" s="99">
        <f>D139/B139*100</f>
        <v>83.76869391824529</v>
      </c>
      <c r="G139" s="99">
        <f>D139/C139*100</f>
        <v>69.12950468981407</v>
      </c>
      <c r="H139" s="100">
        <f t="shared" si="18"/>
        <v>81.39999999999986</v>
      </c>
      <c r="I139" s="100">
        <f t="shared" si="16"/>
        <v>187.5999999999999</v>
      </c>
      <c r="K139" s="183"/>
      <c r="L139" s="184"/>
    </row>
    <row r="140" spans="1:12" s="114" customFormat="1" ht="18.75">
      <c r="A140" s="102" t="s">
        <v>25</v>
      </c>
      <c r="B140" s="103">
        <v>402</v>
      </c>
      <c r="C140" s="104">
        <v>489.6</v>
      </c>
      <c r="D140" s="105">
        <f>76+37.6+44+1.2+0.7+30+27.4+30.6+0.6+26+0.5+26+0.3+24+24+0.5</f>
        <v>349.4</v>
      </c>
      <c r="E140" s="106">
        <f>D140/D139*100</f>
        <v>83.17067364913112</v>
      </c>
      <c r="F140" s="106">
        <f t="shared" si="17"/>
        <v>86.91542288557214</v>
      </c>
      <c r="G140" s="106">
        <f>D140/C140*100</f>
        <v>71.36437908496731</v>
      </c>
      <c r="H140" s="104">
        <f t="shared" si="18"/>
        <v>52.60000000000002</v>
      </c>
      <c r="I140" s="104">
        <f t="shared" si="16"/>
        <v>140.20000000000005</v>
      </c>
      <c r="K140" s="183"/>
      <c r="L140" s="184"/>
    </row>
    <row r="141" spans="1:12" s="113" customFormat="1" ht="18.75">
      <c r="A141" s="107" t="s">
        <v>96</v>
      </c>
      <c r="B141" s="161">
        <v>1505.2</v>
      </c>
      <c r="C141" s="108">
        <v>1760</v>
      </c>
      <c r="D141" s="109">
        <f>107.3+0.4+30.4+78.2+4.1+36.9+117.9+50.5+112.6+5.2+52.3+10.5+76.8-0.2+10.4+82.9+84+50.5+35.7+3.4+90.4+1.3+74.9+86.3+10.5+56.2+19.4+57.2+47.6+4.6+22</f>
        <v>1420.2</v>
      </c>
      <c r="E141" s="112">
        <f>D141/D107*100</f>
        <v>0.3775162767676505</v>
      </c>
      <c r="F141" s="99">
        <f t="shared" si="17"/>
        <v>94.35290991230401</v>
      </c>
      <c r="G141" s="99">
        <f t="shared" si="14"/>
        <v>80.69318181818183</v>
      </c>
      <c r="H141" s="100">
        <f t="shared" si="18"/>
        <v>85</v>
      </c>
      <c r="I141" s="100">
        <f t="shared" si="16"/>
        <v>339.79999999999995</v>
      </c>
      <c r="J141" s="164"/>
      <c r="K141" s="183"/>
      <c r="L141" s="184"/>
    </row>
    <row r="142" spans="1:12" s="114" customFormat="1" ht="18.75">
      <c r="A142" s="111" t="s">
        <v>43</v>
      </c>
      <c r="B142" s="103">
        <v>1218.6</v>
      </c>
      <c r="C142" s="104">
        <v>1437.4</v>
      </c>
      <c r="D142" s="105">
        <f>107.3+25.4+76+34+76.6+47.2+83.8+4.5+35.4+76.8-0.2+60.7+81+50.4+90.4+52.9+85+10.5+37.7+14.2+56.6+47.6</f>
        <v>1153.7999999999997</v>
      </c>
      <c r="E142" s="106">
        <f>D142/D141*100</f>
        <v>81.2420785804816</v>
      </c>
      <c r="F142" s="106">
        <f aca="true" t="shared" si="19" ref="F142:F151">D142/B142*100</f>
        <v>94.68242245199407</v>
      </c>
      <c r="G142" s="106">
        <f t="shared" si="14"/>
        <v>80.26993182134406</v>
      </c>
      <c r="H142" s="104">
        <f t="shared" si="18"/>
        <v>64.80000000000018</v>
      </c>
      <c r="I142" s="104">
        <f t="shared" si="16"/>
        <v>283.60000000000036</v>
      </c>
      <c r="J142" s="165"/>
      <c r="K142" s="183"/>
      <c r="L142" s="184"/>
    </row>
    <row r="143" spans="1:13" s="114" customFormat="1" ht="18.75">
      <c r="A143" s="102" t="s">
        <v>25</v>
      </c>
      <c r="B143" s="103">
        <v>31.3</v>
      </c>
      <c r="C143" s="104">
        <v>40</v>
      </c>
      <c r="D143" s="105">
        <f>0.4+4.9+0.7+4.7+3.3+0.4+0.7+0.6+0.1+0.1+3.9</f>
        <v>19.799999999999997</v>
      </c>
      <c r="E143" s="106">
        <f>D143/D141*100</f>
        <v>1.3941698352344738</v>
      </c>
      <c r="F143" s="106">
        <f t="shared" si="19"/>
        <v>63.258785942492004</v>
      </c>
      <c r="G143" s="106">
        <f>D143/C143*100</f>
        <v>49.49999999999999</v>
      </c>
      <c r="H143" s="104">
        <f t="shared" si="18"/>
        <v>11.500000000000004</v>
      </c>
      <c r="I143" s="104">
        <f t="shared" si="16"/>
        <v>20.200000000000003</v>
      </c>
      <c r="J143" s="165"/>
      <c r="K143" s="183"/>
      <c r="L143" s="184"/>
      <c r="M143" s="154"/>
    </row>
    <row r="144" spans="1:12" s="113" customFormat="1" ht="33.75" customHeight="1">
      <c r="A144" s="117" t="s">
        <v>56</v>
      </c>
      <c r="B144" s="161">
        <f>90+7.5+527</f>
        <v>624.5</v>
      </c>
      <c r="C144" s="108">
        <f>90+534.5</f>
        <v>624.5</v>
      </c>
      <c r="D144" s="109">
        <f>7.5+527</f>
        <v>534.5</v>
      </c>
      <c r="E144" s="112">
        <f>D144/D107*100</f>
        <v>0.14208030554309897</v>
      </c>
      <c r="F144" s="99">
        <f t="shared" si="19"/>
        <v>85.58847077662129</v>
      </c>
      <c r="G144" s="99">
        <f t="shared" si="14"/>
        <v>85.58847077662129</v>
      </c>
      <c r="H144" s="100">
        <f t="shared" si="18"/>
        <v>90</v>
      </c>
      <c r="I144" s="100">
        <f t="shared" si="16"/>
        <v>90</v>
      </c>
      <c r="J144" s="164"/>
      <c r="K144" s="183"/>
      <c r="L144" s="184"/>
    </row>
    <row r="145" spans="1:12" s="113" customFormat="1" ht="18.75" hidden="1">
      <c r="A145" s="117" t="s">
        <v>92</v>
      </c>
      <c r="B145" s="159"/>
      <c r="C145" s="108"/>
      <c r="D145" s="109"/>
      <c r="E145" s="112">
        <f>D145/D107*100</f>
        <v>0</v>
      </c>
      <c r="F145" s="99" t="e">
        <f>D145/B145*100</f>
        <v>#DIV/0!</v>
      </c>
      <c r="G145" s="99" t="e">
        <f t="shared" si="14"/>
        <v>#DIV/0!</v>
      </c>
      <c r="H145" s="100">
        <f t="shared" si="18"/>
        <v>0</v>
      </c>
      <c r="I145" s="100">
        <f t="shared" si="16"/>
        <v>0</v>
      </c>
      <c r="J145" s="164"/>
      <c r="K145" s="183"/>
      <c r="L145" s="184"/>
    </row>
    <row r="146" spans="1:12" s="113" customFormat="1" ht="18.75">
      <c r="A146" s="117" t="s">
        <v>97</v>
      </c>
      <c r="B146" s="161">
        <f>63378.3+215.3</f>
        <v>63593.600000000006</v>
      </c>
      <c r="C146" s="108">
        <f>56447.1-100+1500-3000+10865.4+0.1+56196.1</f>
        <v>121908.70000000001</v>
      </c>
      <c r="D146" s="10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</f>
        <v>59321.000000000015</v>
      </c>
      <c r="E146" s="112">
        <f>D146/D107*100</f>
        <v>15.768654452988168</v>
      </c>
      <c r="F146" s="99">
        <f t="shared" si="19"/>
        <v>93.28139938610175</v>
      </c>
      <c r="G146" s="99">
        <f t="shared" si="14"/>
        <v>48.660185860402095</v>
      </c>
      <c r="H146" s="100">
        <f t="shared" si="18"/>
        <v>4272.599999999991</v>
      </c>
      <c r="I146" s="100">
        <f t="shared" si="16"/>
        <v>62587.7</v>
      </c>
      <c r="J146" s="164"/>
      <c r="K146" s="183"/>
      <c r="L146" s="184"/>
    </row>
    <row r="147" spans="1:12" s="113" customFormat="1" ht="18.75" hidden="1">
      <c r="A147" s="117" t="s">
        <v>86</v>
      </c>
      <c r="B147" s="159"/>
      <c r="C147" s="108"/>
      <c r="D147" s="109"/>
      <c r="E147" s="112">
        <f>D147/D107*100</f>
        <v>0</v>
      </c>
      <c r="F147" s="99" t="e">
        <f t="shared" si="19"/>
        <v>#DIV/0!</v>
      </c>
      <c r="G147" s="99" t="e">
        <f t="shared" si="14"/>
        <v>#DIV/0!</v>
      </c>
      <c r="H147" s="100">
        <f t="shared" si="18"/>
        <v>0</v>
      </c>
      <c r="I147" s="100">
        <f t="shared" si="16"/>
        <v>0</v>
      </c>
      <c r="J147" s="164"/>
      <c r="K147" s="183"/>
      <c r="L147" s="184"/>
    </row>
    <row r="148" spans="1:12" s="113" customFormat="1" ht="37.5" hidden="1">
      <c r="A148" s="117" t="s">
        <v>104</v>
      </c>
      <c r="B148" s="159"/>
      <c r="C148" s="108"/>
      <c r="D148" s="109"/>
      <c r="E148" s="112">
        <f>D148/D109*100</f>
        <v>0</v>
      </c>
      <c r="F148" s="99" t="e">
        <f>D148/B148*100</f>
        <v>#DIV/0!</v>
      </c>
      <c r="G148" s="99" t="e">
        <f>D148/C148*100</f>
        <v>#DIV/0!</v>
      </c>
      <c r="H148" s="100">
        <f>B148-D148</f>
        <v>0</v>
      </c>
      <c r="I148" s="100">
        <f>C148-D148</f>
        <v>0</v>
      </c>
      <c r="J148" s="164"/>
      <c r="K148" s="183"/>
      <c r="L148" s="184"/>
    </row>
    <row r="149" spans="1:12" s="113" customFormat="1" ht="18.75">
      <c r="A149" s="107" t="s">
        <v>98</v>
      </c>
      <c r="B149" s="161">
        <v>128.19706</v>
      </c>
      <c r="C149" s="108">
        <v>162.3</v>
      </c>
      <c r="D149" s="109">
        <f>46.4+43+38.8</f>
        <v>128.2</v>
      </c>
      <c r="E149" s="112">
        <f>D149/D107*100</f>
        <v>0.03407800780285367</v>
      </c>
      <c r="F149" s="99">
        <f t="shared" si="19"/>
        <v>100.00229334432473</v>
      </c>
      <c r="G149" s="99">
        <f t="shared" si="14"/>
        <v>78.98952556993221</v>
      </c>
      <c r="H149" s="100">
        <f t="shared" si="18"/>
        <v>-0.0029399999999952797</v>
      </c>
      <c r="I149" s="100">
        <f t="shared" si="16"/>
        <v>34.10000000000002</v>
      </c>
      <c r="J149" s="164"/>
      <c r="K149" s="183"/>
      <c r="L149" s="184"/>
    </row>
    <row r="150" spans="1:12" s="113" customFormat="1" ht="18" customHeight="1">
      <c r="A150" s="107" t="s">
        <v>77</v>
      </c>
      <c r="B150" s="161">
        <f>10277.3-1020</f>
        <v>9257.3</v>
      </c>
      <c r="C150" s="108">
        <f>10563.8+657.7</f>
        <v>11221.5</v>
      </c>
      <c r="D150" s="109">
        <f>791.9+575.3+777.6+830.9+722.1+47.7+657.7+821-47.6+744.9+750.8+1599.5</f>
        <v>8271.8</v>
      </c>
      <c r="E150" s="112">
        <f>D150/D107*100</f>
        <v>2.1988023786555773</v>
      </c>
      <c r="F150" s="99">
        <f t="shared" si="19"/>
        <v>89.35434737990559</v>
      </c>
      <c r="G150" s="99">
        <f t="shared" si="14"/>
        <v>73.71385287171947</v>
      </c>
      <c r="H150" s="100">
        <f t="shared" si="18"/>
        <v>985.5</v>
      </c>
      <c r="I150" s="100">
        <f t="shared" si="16"/>
        <v>2949.7000000000007</v>
      </c>
      <c r="J150" s="164"/>
      <c r="K150" s="183"/>
      <c r="L150" s="184"/>
    </row>
    <row r="151" spans="1:12" s="113" customFormat="1" ht="19.5" customHeight="1">
      <c r="A151" s="147" t="s">
        <v>50</v>
      </c>
      <c r="B151" s="163">
        <f>289360.2-1612.3-1000-1425.5-646.6</f>
        <v>284675.80000000005</v>
      </c>
      <c r="C151" s="148">
        <v>322609.9</v>
      </c>
      <c r="D151" s="14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</f>
        <v>223623.30000000005</v>
      </c>
      <c r="E151" s="150">
        <f>D151/D107*100</f>
        <v>59.443342919655926</v>
      </c>
      <c r="F151" s="151">
        <f t="shared" si="19"/>
        <v>78.55367403902966</v>
      </c>
      <c r="G151" s="151">
        <f t="shared" si="14"/>
        <v>69.3169366470155</v>
      </c>
      <c r="H151" s="152">
        <f t="shared" si="18"/>
        <v>61052.5</v>
      </c>
      <c r="I151" s="152">
        <f>C151-D151</f>
        <v>98986.59999999998</v>
      </c>
      <c r="K151" s="183"/>
      <c r="L151" s="184"/>
    </row>
    <row r="152" spans="1:12" s="113" customFormat="1" ht="18.75">
      <c r="A152" s="107" t="s">
        <v>99</v>
      </c>
      <c r="B152" s="161">
        <v>35193.4</v>
      </c>
      <c r="C152" s="108">
        <v>42232</v>
      </c>
      <c r="D152" s="109">
        <f>819+819+819.1+1062.3+1173.1+1173.1+1173.2+1173.1+1173.1+1173.2+1173.1+1173.1+1173.2+1173.1+1173.1+1173.1+1173.1+1173.1+1173.1+1173.1+1173.1+1173.1+1173.1+1173.1+1173.1+1173.1+1173.1+1173.1+1173.1+1173.1</f>
        <v>34020.29999999998</v>
      </c>
      <c r="E152" s="112">
        <f>D152/D107*100</f>
        <v>9.043245310884728</v>
      </c>
      <c r="F152" s="99">
        <f t="shared" si="17"/>
        <v>96.66670455255809</v>
      </c>
      <c r="G152" s="99">
        <f t="shared" si="14"/>
        <v>80.55573972343242</v>
      </c>
      <c r="H152" s="100">
        <f t="shared" si="18"/>
        <v>1173.1000000000204</v>
      </c>
      <c r="I152" s="100">
        <f t="shared" si="16"/>
        <v>8211.700000000019</v>
      </c>
      <c r="K152" s="183"/>
      <c r="L152" s="184"/>
    </row>
    <row r="153" spans="1:12" s="2" customFormat="1" ht="19.5" thickBot="1">
      <c r="A153" s="29" t="s">
        <v>29</v>
      </c>
      <c r="B153" s="162"/>
      <c r="C153" s="63"/>
      <c r="D153" s="44">
        <f>D43+D69+D72+D77+D79+D87+D102+D107+D100+D84+D98</f>
        <v>386584.9</v>
      </c>
      <c r="E153" s="15"/>
      <c r="F153" s="15"/>
      <c r="G153" s="6"/>
      <c r="H153" s="52"/>
      <c r="I153" s="44"/>
      <c r="K153" s="183"/>
      <c r="L153" s="185"/>
    </row>
    <row r="154" spans="1:12" ht="19.5" thickBot="1">
      <c r="A154" s="12" t="s">
        <v>18</v>
      </c>
      <c r="B154" s="40">
        <f>B6+B18+B33+B43+B51+B59+B69+B72+B77+B79+B87+B90+B95+B102+B107+B100+B84+B98+B45</f>
        <v>1765044.2550600003</v>
      </c>
      <c r="C154" s="40">
        <f>C6+C18+C33+C43+C51+C59+C69+C72+C77+C79+C87+C90+C95+C102+C107+C100+C84+C98+C45</f>
        <v>2206447.6999999997</v>
      </c>
      <c r="D154" s="40">
        <f>D6+D18+D33+D43+D51+D59+D69+D72+D77+D79+D87+D90+D95+D102+D107+D100+D84+D98+D45</f>
        <v>1550842.6</v>
      </c>
      <c r="E154" s="28">
        <v>100</v>
      </c>
      <c r="F154" s="3">
        <f>D154/B154*100</f>
        <v>87.86423318022024</v>
      </c>
      <c r="G154" s="3">
        <f aca="true" t="shared" si="20" ref="G154:G160">D154/C154*100</f>
        <v>70.28685066951735</v>
      </c>
      <c r="H154" s="40">
        <f aca="true" t="shared" si="21" ref="H154:H160">B154-D154</f>
        <v>214201.65506000025</v>
      </c>
      <c r="I154" s="40">
        <f aca="true" t="shared" si="22" ref="I154:I160">C154-D154</f>
        <v>655605.0999999996</v>
      </c>
      <c r="K154" s="186"/>
      <c r="L154" s="187"/>
    </row>
    <row r="155" spans="1:12" ht="18.75">
      <c r="A155" s="16" t="s">
        <v>5</v>
      </c>
      <c r="B155" s="51">
        <f>B8+B20+B34+B52+B60+B91+B115+B120+B46+B142+B133+B103</f>
        <v>756707.1</v>
      </c>
      <c r="C155" s="51">
        <f>C8+C20+C34+C52+C60+C91+C115+C120+C46+C142+C133+C103</f>
        <v>897180</v>
      </c>
      <c r="D155" s="51">
        <f>D8+D20+D34+D52+D60+D91+D115+D120+D46+D142+D133+D103</f>
        <v>692555.0100000004</v>
      </c>
      <c r="E155" s="6">
        <f>D155/D154*100</f>
        <v>44.6566924328749</v>
      </c>
      <c r="F155" s="6">
        <f aca="true" t="shared" si="23" ref="F155:F160">D155/B155*100</f>
        <v>91.52220324085772</v>
      </c>
      <c r="G155" s="6">
        <f t="shared" si="20"/>
        <v>77.19242626897616</v>
      </c>
      <c r="H155" s="52">
        <f t="shared" si="21"/>
        <v>64152.08999999962</v>
      </c>
      <c r="I155" s="62">
        <f t="shared" si="22"/>
        <v>204624.98999999964</v>
      </c>
      <c r="K155" s="183"/>
      <c r="L155" s="187"/>
    </row>
    <row r="156" spans="1:12" ht="18.75">
      <c r="A156" s="16" t="s">
        <v>0</v>
      </c>
      <c r="B156" s="52">
        <f>B11+B23+B36+B55+B62+B92+B49+B143+B109+B112+B96+B140+B129</f>
        <v>78921.5</v>
      </c>
      <c r="C156" s="52">
        <f>C11+C23+C36+C55+C62+C92+C49+C143+C109+C112+C96+C140+C129</f>
        <v>110563.99999999999</v>
      </c>
      <c r="D156" s="52">
        <f>D11+D23+D36+D55+D62+D92+D49+D143+D109+D112+D96+D140+D129</f>
        <v>69733.19999999998</v>
      </c>
      <c r="E156" s="6">
        <f>D156/D154*100</f>
        <v>4.496471788948794</v>
      </c>
      <c r="F156" s="6">
        <f t="shared" si="23"/>
        <v>88.35767186381402</v>
      </c>
      <c r="G156" s="6">
        <f t="shared" si="20"/>
        <v>63.07043884085235</v>
      </c>
      <c r="H156" s="52">
        <f>B156-D156</f>
        <v>9188.300000000017</v>
      </c>
      <c r="I156" s="62">
        <f t="shared" si="22"/>
        <v>40830.8</v>
      </c>
      <c r="K156" s="153"/>
      <c r="L156" s="69"/>
    </row>
    <row r="157" spans="1:12" ht="18.75">
      <c r="A157" s="16" t="s">
        <v>1</v>
      </c>
      <c r="B157" s="51">
        <f>B22+B10+B54+B48+B61+B35+B124</f>
        <v>33666.299999999996</v>
      </c>
      <c r="C157" s="51">
        <f>C22+C10+C54+C48+C61+C35+C124</f>
        <v>42113.5</v>
      </c>
      <c r="D157" s="51">
        <f>D22+D10+D54+D48+D61+D35+D124</f>
        <v>26340.699999999997</v>
      </c>
      <c r="E157" s="6">
        <f>D157/D154*100</f>
        <v>1.6984766861575764</v>
      </c>
      <c r="F157" s="6">
        <f t="shared" si="23"/>
        <v>78.2405550951545</v>
      </c>
      <c r="G157" s="6">
        <f t="shared" si="20"/>
        <v>62.54692675745307</v>
      </c>
      <c r="H157" s="52">
        <f t="shared" si="21"/>
        <v>7325.5999999999985</v>
      </c>
      <c r="I157" s="62">
        <f t="shared" si="22"/>
        <v>15772.800000000003</v>
      </c>
      <c r="K157" s="153"/>
      <c r="L157" s="33"/>
    </row>
    <row r="158" spans="1:12" ht="21" customHeight="1">
      <c r="A158" s="16" t="s">
        <v>14</v>
      </c>
      <c r="B158" s="51">
        <f>B12+B24+B104+B63+B38+B93+B131+B56+B138+B118</f>
        <v>26432.899999999994</v>
      </c>
      <c r="C158" s="51">
        <f>C12+C24+C104+C63+C38+C93+C131+C56+C138+C118</f>
        <v>30298.8</v>
      </c>
      <c r="D158" s="51">
        <f>D12+D24+D104+D63+D38+D93+D131+D56+D138+D118</f>
        <v>22324.9</v>
      </c>
      <c r="E158" s="6">
        <f>D158/D154*100</f>
        <v>1.4395335800035414</v>
      </c>
      <c r="F158" s="6">
        <f t="shared" si="23"/>
        <v>84.45876161904296</v>
      </c>
      <c r="G158" s="6">
        <f t="shared" si="20"/>
        <v>73.6824560708675</v>
      </c>
      <c r="H158" s="52">
        <f>B158-D158</f>
        <v>4107.999999999993</v>
      </c>
      <c r="I158" s="62">
        <f t="shared" si="22"/>
        <v>7973.899999999998</v>
      </c>
      <c r="K158" s="153"/>
      <c r="L158" s="69"/>
    </row>
    <row r="159" spans="1:12" ht="18.75">
      <c r="A159" s="16" t="s">
        <v>2</v>
      </c>
      <c r="B159" s="51">
        <f>B9+B21+B47+B53+B123</f>
        <v>109.2</v>
      </c>
      <c r="C159" s="51">
        <f>C9+C21+C47+C53+C123</f>
        <v>114.48435</v>
      </c>
      <c r="D159" s="51">
        <f>D9+D21+D47+D53+D123</f>
        <v>39.00000000000001</v>
      </c>
      <c r="E159" s="6">
        <f>D159/D154*100</f>
        <v>0.0025147619751998045</v>
      </c>
      <c r="F159" s="6">
        <f t="shared" si="23"/>
        <v>35.71428571428572</v>
      </c>
      <c r="G159" s="6">
        <f t="shared" si="20"/>
        <v>34.06579152521721</v>
      </c>
      <c r="H159" s="52">
        <f t="shared" si="21"/>
        <v>70.19999999999999</v>
      </c>
      <c r="I159" s="62">
        <f t="shared" si="22"/>
        <v>75.48435</v>
      </c>
      <c r="K159" s="153"/>
      <c r="L159" s="33"/>
    </row>
    <row r="160" spans="1:12" ht="19.5" thickBot="1">
      <c r="A160" s="88" t="s">
        <v>27</v>
      </c>
      <c r="B160" s="64">
        <f>B154-B155-B156-B157-B158-B159</f>
        <v>869207.2550600003</v>
      </c>
      <c r="C160" s="64">
        <f>C154-C155-C156-C157-C158-C159</f>
        <v>1126176.9156499996</v>
      </c>
      <c r="D160" s="64">
        <f>D154-D155-D156-D157-D158-D159</f>
        <v>739849.7899999998</v>
      </c>
      <c r="E160" s="31">
        <f>D160/D154*100</f>
        <v>47.70631075003999</v>
      </c>
      <c r="F160" s="31">
        <f t="shared" si="23"/>
        <v>85.11776514669437</v>
      </c>
      <c r="G160" s="31">
        <f t="shared" si="20"/>
        <v>65.69569840392066</v>
      </c>
      <c r="H160" s="89">
        <f t="shared" si="21"/>
        <v>129357.46506000054</v>
      </c>
      <c r="I160" s="89">
        <f t="shared" si="22"/>
        <v>386327.1256499998</v>
      </c>
      <c r="K160" s="153"/>
      <c r="L160" s="69"/>
    </row>
    <row r="161" spans="7:8" ht="12.75">
      <c r="G161" s="18"/>
      <c r="H161" s="18"/>
    </row>
    <row r="162" spans="3:11" ht="12.75">
      <c r="C162" s="153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2:8" ht="12.75">
      <c r="B165" s="92"/>
      <c r="C165" s="92"/>
      <c r="D165" s="153"/>
      <c r="G165" s="18"/>
      <c r="H165" s="18"/>
    </row>
    <row r="166" spans="2:8" ht="12.75">
      <c r="B166" s="155"/>
      <c r="C166" s="156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3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3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1550842.6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1550842.6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2018-10-19T11:53:15Z</cp:lastPrinted>
  <dcterms:created xsi:type="dcterms:W3CDTF">2000-06-20T04:48:00Z</dcterms:created>
  <dcterms:modified xsi:type="dcterms:W3CDTF">2018-10-23T09:40:45Z</dcterms:modified>
  <cp:category/>
  <cp:version/>
  <cp:contentType/>
  <cp:contentStatus/>
</cp:coreProperties>
</file>